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drawings/drawing8.xml" ContentType="application/vnd.openxmlformats-officedocument.drawing+xml"/>
  <Override PartName="/xl/comments6.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wvl\LO_MM\BE\Circulaire Ambachtscentra\7) Onderzoeken en rapporten\Onderzoeken 2024\CO2-tool hergebruik\"/>
    </mc:Choice>
  </mc:AlternateContent>
  <xr:revisionPtr revIDLastSave="0" documentId="13_ncr:1_{1B6DF123-DA43-4622-9BCE-32E38887BF61}" xr6:coauthVersionLast="47" xr6:coauthVersionMax="47" xr10:uidLastSave="{00000000-0000-0000-0000-000000000000}"/>
  <workbookProtection workbookAlgorithmName="SHA-512" workbookHashValue="C9ehRU81ptm9+f9QRhm9yFmwFNepbIi90qFgyWVg91ds+LqWjrwWhYIAXJsYWIzxMlmGXtfc+2BGJA4oooMNNQ==" workbookSaltValue="TG/ZbgzJ5Nz89OveSo8GBw==" workbookSpinCount="100000" lockStructure="1"/>
  <bookViews>
    <workbookView xWindow="-120" yWindow="-120" windowWidth="38640" windowHeight="21240" tabRatio="801" xr2:uid="{00000000-000D-0000-FFFF-FFFF00000000}"/>
  </bookViews>
  <sheets>
    <sheet name="Intro" sheetId="36" r:id="rId1"/>
    <sheet name="Cockpit" sheetId="45" r:id="rId2"/>
    <sheet name="Scenario's" sheetId="27" state="hidden" r:id="rId3"/>
    <sheet name="Rekensheet" sheetId="24" state="hidden" r:id="rId4"/>
    <sheet name="Samenstelling" sheetId="22" state="hidden" r:id="rId5"/>
    <sheet name="Impactdata ecoras" sheetId="42" state="hidden" r:id="rId6"/>
    <sheet name="Achtergrond scenario zonder kw" sheetId="43" state="hidden" r:id="rId7"/>
    <sheet name="Percentages scenario zonder kw" sheetId="44" state="hidden" r:id="rId8"/>
  </sheets>
  <definedNames>
    <definedName name="Levensduurverlenging">Rekensheet!#REF!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4" i="24" l="1"/>
  <c r="N114" i="24" s="1"/>
  <c r="K115" i="24"/>
  <c r="K116" i="24"/>
  <c r="K117" i="24"/>
  <c r="K118" i="24"/>
  <c r="K119" i="24"/>
  <c r="K120" i="24"/>
  <c r="K121" i="24"/>
  <c r="K122" i="24"/>
  <c r="F119" i="24" l="1"/>
  <c r="E119" i="24"/>
  <c r="E128" i="24"/>
  <c r="F128" i="24"/>
  <c r="E129" i="24"/>
  <c r="F129" i="24"/>
  <c r="E130" i="24"/>
  <c r="F130" i="24"/>
  <c r="E131" i="24"/>
  <c r="F131" i="24"/>
  <c r="E132" i="24"/>
  <c r="F132" i="24"/>
  <c r="E133" i="24"/>
  <c r="F133" i="24"/>
  <c r="E134" i="24"/>
  <c r="F134" i="24"/>
  <c r="E135" i="24"/>
  <c r="F135" i="24"/>
  <c r="E136" i="24"/>
  <c r="F136" i="24"/>
  <c r="O115" i="24"/>
  <c r="O116" i="24"/>
  <c r="O117" i="24"/>
  <c r="O118" i="24"/>
  <c r="O119" i="24"/>
  <c r="O120" i="24"/>
  <c r="O121" i="24"/>
  <c r="O122" i="24"/>
  <c r="N115" i="24"/>
  <c r="N116" i="24"/>
  <c r="N117" i="24"/>
  <c r="N118" i="24"/>
  <c r="N119" i="24"/>
  <c r="N120" i="24"/>
  <c r="N121" i="24"/>
  <c r="N122" i="24"/>
  <c r="O114" i="24"/>
  <c r="C114" i="24"/>
  <c r="G134" i="24" s="1"/>
  <c r="J58" i="24" s="1"/>
  <c r="C113" i="24"/>
  <c r="E33" i="27"/>
  <c r="F18" i="24" s="1"/>
  <c r="E34" i="27"/>
  <c r="F19" i="24" s="1"/>
  <c r="E35" i="27"/>
  <c r="F20" i="24" s="1"/>
  <c r="E36" i="27"/>
  <c r="F21" i="24" s="1"/>
  <c r="E37" i="27"/>
  <c r="F22" i="24" s="1"/>
  <c r="E38" i="27"/>
  <c r="F23" i="24" s="1"/>
  <c r="E39" i="27"/>
  <c r="F24" i="24" s="1"/>
  <c r="E40" i="27"/>
  <c r="F25" i="24" s="1"/>
  <c r="E32" i="27"/>
  <c r="F17" i="24" s="1"/>
  <c r="D34" i="27"/>
  <c r="E19" i="24" s="1"/>
  <c r="D35" i="27"/>
  <c r="E20" i="24" s="1"/>
  <c r="D36" i="27"/>
  <c r="E21" i="24" s="1"/>
  <c r="D37" i="27"/>
  <c r="E22" i="24" s="1"/>
  <c r="D38" i="27"/>
  <c r="E23" i="24" s="1"/>
  <c r="D39" i="27"/>
  <c r="E24" i="24" s="1"/>
  <c r="D40" i="27"/>
  <c r="E25" i="24" s="1"/>
  <c r="D33" i="27"/>
  <c r="E18" i="24" s="1"/>
  <c r="D32" i="27"/>
  <c r="E17" i="24" s="1"/>
  <c r="C33" i="27"/>
  <c r="D18" i="24" s="1"/>
  <c r="C34" i="27"/>
  <c r="D19" i="24" s="1"/>
  <c r="C35" i="27"/>
  <c r="D20" i="24" s="1"/>
  <c r="C36" i="27"/>
  <c r="D21" i="24" s="1"/>
  <c r="C37" i="27"/>
  <c r="D22" i="24" s="1"/>
  <c r="C38" i="27"/>
  <c r="D23" i="24" s="1"/>
  <c r="C39" i="27"/>
  <c r="D24" i="24" s="1"/>
  <c r="C40" i="27"/>
  <c r="D25" i="24" s="1"/>
  <c r="C32" i="27"/>
  <c r="D17" i="24" s="1"/>
  <c r="B69" i="42"/>
  <c r="H19" i="22"/>
  <c r="D116" i="42"/>
  <c r="E116" i="42" s="1"/>
  <c r="H20" i="22" s="1"/>
  <c r="C22" i="45"/>
  <c r="C9" i="24" s="1"/>
  <c r="H135" i="24" l="1"/>
  <c r="J24" i="24" s="1"/>
  <c r="G133" i="24"/>
  <c r="J57" i="24" s="1"/>
  <c r="O123" i="24"/>
  <c r="N123" i="24"/>
  <c r="H134" i="24"/>
  <c r="J23" i="24" s="1"/>
  <c r="G131" i="24"/>
  <c r="J55" i="24" s="1"/>
  <c r="H132" i="24"/>
  <c r="J21" i="24" s="1"/>
  <c r="G130" i="24"/>
  <c r="J54" i="24" s="1"/>
  <c r="H131" i="24"/>
  <c r="J20" i="24" s="1"/>
  <c r="H133" i="24"/>
  <c r="J22" i="24" s="1"/>
  <c r="G129" i="24"/>
  <c r="J53" i="24" s="1"/>
  <c r="G128" i="24"/>
  <c r="J52" i="24" s="1"/>
  <c r="H130" i="24"/>
  <c r="J19" i="24" s="1"/>
  <c r="G136" i="24"/>
  <c r="J60" i="24" s="1"/>
  <c r="H128" i="24"/>
  <c r="J17" i="24" s="1"/>
  <c r="H129" i="24"/>
  <c r="J18" i="24" s="1"/>
  <c r="G132" i="24"/>
  <c r="J56" i="24" s="1"/>
  <c r="G135" i="24"/>
  <c r="J59" i="24" s="1"/>
  <c r="H136" i="24"/>
  <c r="J25" i="24" s="1"/>
  <c r="C12" i="27"/>
  <c r="C20" i="27"/>
  <c r="C19" i="27"/>
  <c r="C18" i="27"/>
  <c r="C17" i="27"/>
  <c r="C16" i="27"/>
  <c r="C15" i="27"/>
  <c r="C13" i="27"/>
  <c r="C14" i="27"/>
  <c r="D150" i="24"/>
  <c r="E150" i="24" s="1"/>
  <c r="H39" i="24" s="1"/>
  <c r="C17" i="24" l="1" a="1"/>
  <c r="C17" i="24" s="1"/>
  <c r="C52" i="24" s="1"/>
  <c r="C21" i="27"/>
  <c r="C18" i="24" s="1" a="1"/>
  <c r="C18" i="24" s="1"/>
  <c r="C53" i="24" s="1"/>
  <c r="BS43" i="43"/>
  <c r="B15" i="43" s="1"/>
  <c r="BR43" i="43"/>
  <c r="C15" i="43" s="1"/>
  <c r="CB35" i="43"/>
  <c r="C25" i="24" l="1" a="1"/>
  <c r="C25" i="24" s="1"/>
  <c r="C60" i="24" s="1"/>
  <c r="C24" i="24" a="1"/>
  <c r="C24" i="24" s="1"/>
  <c r="C59" i="24" s="1"/>
  <c r="C22" i="24" a="1"/>
  <c r="C22" i="24" s="1"/>
  <c r="C57" i="24" s="1"/>
  <c r="C19" i="24" a="1"/>
  <c r="C19" i="24" s="1"/>
  <c r="C54" i="24" s="1"/>
  <c r="C23" i="24" a="1"/>
  <c r="C23" i="24" s="1"/>
  <c r="C58" i="24" s="1"/>
  <c r="C21" i="24" a="1"/>
  <c r="C21" i="24" s="1"/>
  <c r="C56" i="24" s="1"/>
  <c r="C20" i="24" a="1"/>
  <c r="C20" i="24" s="1"/>
  <c r="C55" i="24" s="1"/>
  <c r="DR23" i="43"/>
  <c r="C12" i="22" l="1"/>
  <c r="C14" i="22"/>
  <c r="C15" i="22"/>
  <c r="C16" i="22"/>
  <c r="C17" i="22"/>
  <c r="C18" i="22"/>
  <c r="C11" i="22"/>
  <c r="D21" i="27" l="1"/>
  <c r="R88" i="24"/>
  <c r="C98" i="24" s="1"/>
  <c r="B65" i="42" l="1"/>
  <c r="B63" i="42"/>
  <c r="B64" i="42"/>
  <c r="B67" i="42" s="1"/>
  <c r="O19" i="22" s="1"/>
  <c r="B35" i="42"/>
  <c r="B34" i="42"/>
  <c r="B40" i="42"/>
  <c r="B39" i="42"/>
  <c r="B42" i="42" s="1"/>
  <c r="L19" i="22" s="1"/>
  <c r="B36" i="42" l="1"/>
  <c r="N19" i="22" s="1"/>
  <c r="I20" i="22"/>
  <c r="G20" i="22"/>
  <c r="L20" i="22"/>
  <c r="N20" i="22"/>
  <c r="O20" i="22"/>
  <c r="M21" i="22"/>
  <c r="F21" i="22" s="1"/>
  <c r="H21" i="22" s="1"/>
  <c r="D21" i="22"/>
  <c r="L21" i="22"/>
  <c r="N21" i="22" s="1"/>
  <c r="J21" i="22"/>
  <c r="K21" i="22"/>
  <c r="T21" i="22"/>
  <c r="O21" i="22" s="1"/>
  <c r="S21" i="22"/>
  <c r="R21" i="22"/>
  <c r="B62" i="42"/>
  <c r="S19" i="22" s="1"/>
  <c r="N23" i="24" l="1"/>
  <c r="N24" i="24"/>
  <c r="N18" i="24"/>
  <c r="N19" i="24"/>
  <c r="N20" i="24"/>
  <c r="N21" i="24"/>
  <c r="N22" i="24"/>
  <c r="D109" i="42"/>
  <c r="E109" i="42" s="1"/>
  <c r="S20" i="22" s="1"/>
  <c r="Q21" i="22"/>
  <c r="Q20" i="22" s="1"/>
  <c r="U21" i="22"/>
  <c r="U20" i="22" s="1"/>
  <c r="G21" i="22"/>
  <c r="I21" i="22"/>
  <c r="P21" i="22"/>
  <c r="E21" i="22"/>
  <c r="Z13" i="22" l="1"/>
  <c r="Z12" i="22"/>
  <c r="N17" i="24"/>
  <c r="N25" i="24"/>
  <c r="F38" i="24" s="1"/>
  <c r="Z14" i="22"/>
  <c r="Z17" i="22"/>
  <c r="Z18" i="22"/>
  <c r="Z11" i="22"/>
  <c r="I52" i="24" s="1"/>
  <c r="Z15" i="22"/>
  <c r="Z16" i="22"/>
  <c r="B57" i="42"/>
  <c r="G58" i="22"/>
  <c r="H58" i="22" s="1"/>
  <c r="G57" i="22"/>
  <c r="H57" i="22" s="1"/>
  <c r="G56" i="22"/>
  <c r="H56" i="22" s="1"/>
  <c r="K13" i="22"/>
  <c r="L13" i="22"/>
  <c r="N13" i="22"/>
  <c r="B12" i="44"/>
  <c r="B11" i="44"/>
  <c r="B10" i="44"/>
  <c r="B9" i="44"/>
  <c r="B7" i="44"/>
  <c r="B6" i="44"/>
  <c r="B5" i="44"/>
  <c r="H4" i="44"/>
  <c r="D4" i="44"/>
  <c r="C4" i="44"/>
  <c r="B4" i="44"/>
  <c r="AE78" i="43"/>
  <c r="N67" i="43"/>
  <c r="B35" i="43"/>
  <c r="C7" i="44" s="1"/>
  <c r="DG24" i="43"/>
  <c r="B17" i="43" s="1"/>
  <c r="DF24" i="43"/>
  <c r="C17" i="43" s="1"/>
  <c r="DD22" i="43"/>
  <c r="DE22" i="43" s="1"/>
  <c r="DE21" i="43"/>
  <c r="CP21" i="43"/>
  <c r="CQ21" i="43" s="1"/>
  <c r="I16" i="43" s="1"/>
  <c r="I27" i="43"/>
  <c r="C27" i="43"/>
  <c r="G27" i="43" s="1"/>
  <c r="CB22" i="43"/>
  <c r="BQ43" i="43" s="1"/>
  <c r="I15" i="43" s="1"/>
  <c r="I26" i="43"/>
  <c r="C26" i="43"/>
  <c r="G26" i="43" s="1"/>
  <c r="I25" i="43"/>
  <c r="C25" i="43"/>
  <c r="G25" i="43" s="1"/>
  <c r="I24" i="43"/>
  <c r="C24" i="43"/>
  <c r="C23" i="43"/>
  <c r="G23" i="43" s="1"/>
  <c r="C22" i="43"/>
  <c r="G22" i="43" s="1"/>
  <c r="C21" i="43"/>
  <c r="C20" i="43"/>
  <c r="N42" i="43"/>
  <c r="Q40" i="43"/>
  <c r="S40" i="43" s="1"/>
  <c r="T40" i="43" s="1"/>
  <c r="P40" i="43"/>
  <c r="Q39" i="43"/>
  <c r="R39" i="43" s="1"/>
  <c r="P39" i="43"/>
  <c r="Q38" i="43"/>
  <c r="R38" i="43" s="1"/>
  <c r="P38" i="43"/>
  <c r="Q37" i="43"/>
  <c r="S37" i="43" s="1"/>
  <c r="T37" i="43" s="1"/>
  <c r="P37" i="43"/>
  <c r="Q36" i="43"/>
  <c r="R36" i="43" s="1"/>
  <c r="P36" i="43"/>
  <c r="AS44" i="43"/>
  <c r="AT41" i="43" s="1"/>
  <c r="C12" i="43" s="1"/>
  <c r="E35" i="43" s="1"/>
  <c r="F7" i="44" s="1"/>
  <c r="AF39" i="43"/>
  <c r="AI39" i="43" s="1"/>
  <c r="C16" i="43"/>
  <c r="B16" i="43"/>
  <c r="AF37" i="43"/>
  <c r="AI37" i="43" s="1"/>
  <c r="I14" i="43"/>
  <c r="C14" i="43"/>
  <c r="B14" i="43"/>
  <c r="AF36" i="43"/>
  <c r="AJ36" i="43" s="1"/>
  <c r="N30" i="43"/>
  <c r="BI31" i="43"/>
  <c r="BI33" i="43" s="1"/>
  <c r="BM34" i="43" s="1"/>
  <c r="S36" i="43" l="1"/>
  <c r="T36" i="43" s="1"/>
  <c r="P19" i="22"/>
  <c r="D117" i="42"/>
  <c r="E117" i="42" s="1"/>
  <c r="P20" i="22" s="1"/>
  <c r="C13" i="22"/>
  <c r="B38" i="43"/>
  <c r="C10" i="44" s="1"/>
  <c r="DE24" i="43"/>
  <c r="I17" i="43" s="1"/>
  <c r="D40" i="43" s="1"/>
  <c r="E12" i="44" s="1"/>
  <c r="AT42" i="43"/>
  <c r="B12" i="43" s="1"/>
  <c r="I23" i="24"/>
  <c r="M23" i="24" s="1"/>
  <c r="I19" i="24"/>
  <c r="M19" i="24" s="1"/>
  <c r="I55" i="24"/>
  <c r="I18" i="24"/>
  <c r="M18" i="24" s="1"/>
  <c r="H59" i="22"/>
  <c r="H60" i="22" s="1"/>
  <c r="I20" i="24"/>
  <c r="M20" i="24" s="1"/>
  <c r="I58" i="24"/>
  <c r="I54" i="24"/>
  <c r="I17" i="24"/>
  <c r="I24" i="24"/>
  <c r="M24" i="24" s="1"/>
  <c r="I59" i="24"/>
  <c r="I57" i="24"/>
  <c r="I22" i="24"/>
  <c r="M22" i="24" s="1"/>
  <c r="I21" i="24"/>
  <c r="M21" i="24" s="1"/>
  <c r="I56" i="24"/>
  <c r="S39" i="43"/>
  <c r="T39" i="43" s="1"/>
  <c r="C39" i="43"/>
  <c r="D11" i="44" s="1"/>
  <c r="G17" i="43"/>
  <c r="C37" i="43"/>
  <c r="D9" i="44" s="1"/>
  <c r="B37" i="43"/>
  <c r="C9" i="44" s="1"/>
  <c r="N43" i="43"/>
  <c r="I11" i="43" s="1"/>
  <c r="B34" i="43" s="1"/>
  <c r="C6" i="44" s="1"/>
  <c r="AJ39" i="43"/>
  <c r="D38" i="43"/>
  <c r="E10" i="44" s="1"/>
  <c r="AJ37" i="43"/>
  <c r="AJ38" i="43" s="1"/>
  <c r="AG43" i="43" s="1"/>
  <c r="P42" i="43"/>
  <c r="O42" i="43" s="1"/>
  <c r="D37" i="43"/>
  <c r="E9" i="44" s="1"/>
  <c r="E37" i="43"/>
  <c r="F9" i="44" s="1"/>
  <c r="D39" i="43"/>
  <c r="E11" i="44" s="1"/>
  <c r="E38" i="43"/>
  <c r="F10" i="44" s="1"/>
  <c r="E39" i="43"/>
  <c r="F11" i="44" s="1"/>
  <c r="C35" i="43"/>
  <c r="D7" i="44" s="1"/>
  <c r="D21" i="44" s="1"/>
  <c r="C52" i="27" s="1"/>
  <c r="D54" i="24" s="1"/>
  <c r="N54" i="24" s="1"/>
  <c r="D35" i="43"/>
  <c r="G12" i="43"/>
  <c r="G24" i="43"/>
  <c r="B39" i="43"/>
  <c r="C11" i="44" s="1"/>
  <c r="S38" i="43"/>
  <c r="T38" i="43" s="1"/>
  <c r="AG36" i="43"/>
  <c r="G21" i="43"/>
  <c r="C38" i="43"/>
  <c r="D10" i="44" s="1"/>
  <c r="D24" i="44" s="1"/>
  <c r="C55" i="27" s="1"/>
  <c r="D57" i="24" s="1"/>
  <c r="N57" i="24" s="1"/>
  <c r="G14" i="43"/>
  <c r="AH36" i="43"/>
  <c r="I13" i="43"/>
  <c r="G16" i="43"/>
  <c r="G20" i="43"/>
  <c r="G15" i="43"/>
  <c r="BK34" i="43"/>
  <c r="C13" i="43" s="1"/>
  <c r="AI36" i="43"/>
  <c r="AI38" i="43" s="1"/>
  <c r="AF43" i="43" s="1"/>
  <c r="AG37" i="43"/>
  <c r="AG39" i="43"/>
  <c r="R37" i="43"/>
  <c r="BL34" i="43"/>
  <c r="B13" i="43" s="1"/>
  <c r="AH37" i="43"/>
  <c r="AH39" i="43"/>
  <c r="R40" i="43"/>
  <c r="R42" i="43" l="1"/>
  <c r="Q42" i="43" s="1"/>
  <c r="T42" i="43"/>
  <c r="M17" i="24"/>
  <c r="M25" i="24" s="1"/>
  <c r="E38" i="24" s="1"/>
  <c r="I25" i="24"/>
  <c r="C40" i="43"/>
  <c r="D12" i="44" s="1"/>
  <c r="E40" i="43"/>
  <c r="F12" i="44" s="1"/>
  <c r="B40" i="43"/>
  <c r="C12" i="44" s="1"/>
  <c r="H9" i="44"/>
  <c r="E24" i="44"/>
  <c r="D55" i="27" s="1"/>
  <c r="E57" i="24" s="1"/>
  <c r="F25" i="44"/>
  <c r="E56" i="27" s="1"/>
  <c r="F24" i="44"/>
  <c r="E55" i="27" s="1"/>
  <c r="F23" i="44"/>
  <c r="E54" i="27" s="1"/>
  <c r="F56" i="24" s="1"/>
  <c r="M56" i="24" s="1"/>
  <c r="E25" i="44"/>
  <c r="D56" i="27" s="1"/>
  <c r="D25" i="44"/>
  <c r="C56" i="27" s="1"/>
  <c r="D23" i="44"/>
  <c r="C54" i="27" s="1"/>
  <c r="D56" i="24" s="1"/>
  <c r="N56" i="24" s="1"/>
  <c r="G35" i="43"/>
  <c r="E7" i="44"/>
  <c r="E23" i="44"/>
  <c r="D54" i="27" s="1"/>
  <c r="H11" i="44"/>
  <c r="H10" i="44"/>
  <c r="G37" i="43"/>
  <c r="I53" i="24"/>
  <c r="I60" i="24" s="1"/>
  <c r="P43" i="43"/>
  <c r="O43" i="43" s="1"/>
  <c r="B11" i="43" s="1"/>
  <c r="D34" i="43" s="1"/>
  <c r="E6" i="44" s="1"/>
  <c r="C34" i="43"/>
  <c r="D6" i="44" s="1"/>
  <c r="D20" i="44" s="1"/>
  <c r="C51" i="27" s="1"/>
  <c r="G38" i="43"/>
  <c r="G39" i="43"/>
  <c r="S42" i="43"/>
  <c r="T43" i="43"/>
  <c r="S43" i="43" s="1"/>
  <c r="AF49" i="43"/>
  <c r="B10" i="43" s="1"/>
  <c r="I10" i="43"/>
  <c r="G40" i="43"/>
  <c r="D36" i="43"/>
  <c r="E8" i="44" s="1"/>
  <c r="E36" i="43"/>
  <c r="F8" i="44" s="1"/>
  <c r="BN34" i="43"/>
  <c r="C36" i="43"/>
  <c r="D8" i="44" s="1"/>
  <c r="B36" i="43"/>
  <c r="C8" i="44" s="1"/>
  <c r="AG49" i="43"/>
  <c r="C10" i="43" s="1"/>
  <c r="R43" i="43" l="1"/>
  <c r="Q43" i="43" s="1"/>
  <c r="C11" i="43" s="1"/>
  <c r="G11" i="43" s="1"/>
  <c r="H12" i="44"/>
  <c r="F58" i="24"/>
  <c r="M58" i="24" s="1"/>
  <c r="D26" i="44"/>
  <c r="C57" i="27" s="1"/>
  <c r="E26" i="44"/>
  <c r="D57" i="27" s="1"/>
  <c r="F26" i="44"/>
  <c r="E57" i="27" s="1"/>
  <c r="H24" i="44"/>
  <c r="E58" i="24"/>
  <c r="H25" i="44"/>
  <c r="F57" i="24"/>
  <c r="M57" i="24" s="1"/>
  <c r="D58" i="24"/>
  <c r="N58" i="24" s="1"/>
  <c r="D22" i="44"/>
  <c r="C53" i="27" s="1"/>
  <c r="D55" i="24" s="1"/>
  <c r="N55" i="24" s="1"/>
  <c r="H23" i="44"/>
  <c r="F22" i="44"/>
  <c r="E53" i="27" s="1"/>
  <c r="F55" i="24" s="1"/>
  <c r="M55" i="24" s="1"/>
  <c r="F21" i="44"/>
  <c r="E52" i="27" s="1"/>
  <c r="E21" i="44"/>
  <c r="H8" i="44"/>
  <c r="H7" i="44"/>
  <c r="E22" i="44"/>
  <c r="D53" i="27" s="1"/>
  <c r="E56" i="24"/>
  <c r="D53" i="24"/>
  <c r="N53" i="24" s="1"/>
  <c r="G13" i="43"/>
  <c r="G36" i="43"/>
  <c r="B33" i="43"/>
  <c r="C5" i="44" s="1"/>
  <c r="C33" i="43"/>
  <c r="D5" i="44" s="1"/>
  <c r="D33" i="43"/>
  <c r="E5" i="44" s="1"/>
  <c r="G10" i="43"/>
  <c r="E33" i="43"/>
  <c r="F5" i="44" s="1"/>
  <c r="H26" i="44" l="1"/>
  <c r="E59" i="24"/>
  <c r="F59" i="24"/>
  <c r="M59" i="24" s="1"/>
  <c r="D59" i="24"/>
  <c r="N59" i="24" s="1"/>
  <c r="E19" i="44"/>
  <c r="D19" i="44"/>
  <c r="E34" i="43"/>
  <c r="D52" i="27"/>
  <c r="H21" i="44"/>
  <c r="E55" i="24"/>
  <c r="F54" i="24"/>
  <c r="M54" i="24" s="1"/>
  <c r="H5" i="44"/>
  <c r="F19" i="44"/>
  <c r="H22" i="44"/>
  <c r="G33" i="43"/>
  <c r="E50" i="27" l="1"/>
  <c r="F52" i="24" s="1"/>
  <c r="M52" i="24" s="1"/>
  <c r="D50" i="27"/>
  <c r="E52" i="24" s="1"/>
  <c r="C50" i="27"/>
  <c r="D27" i="44"/>
  <c r="H19" i="44"/>
  <c r="D52" i="24"/>
  <c r="E54" i="24"/>
  <c r="F6" i="44"/>
  <c r="G34" i="43"/>
  <c r="B33" i="42"/>
  <c r="R19" i="22" s="1"/>
  <c r="C58" i="27" l="1"/>
  <c r="D60" i="24" s="1"/>
  <c r="F20" i="44"/>
  <c r="E20" i="44"/>
  <c r="E27" i="44" s="1"/>
  <c r="D58" i="27" s="1"/>
  <c r="E60" i="24" s="1"/>
  <c r="H6" i="44"/>
  <c r="N52" i="24"/>
  <c r="N60" i="24" s="1"/>
  <c r="F73" i="24" s="1"/>
  <c r="J96" i="24" s="1"/>
  <c r="B51" i="42"/>
  <c r="G19" i="22" s="1"/>
  <c r="B48" i="42"/>
  <c r="B46" i="42"/>
  <c r="U19" i="22" s="1"/>
  <c r="B44" i="42"/>
  <c r="B30" i="42"/>
  <c r="D108" i="42" s="1"/>
  <c r="B25" i="42"/>
  <c r="D106" i="42" s="1"/>
  <c r="E106" i="42" s="1"/>
  <c r="B21" i="42"/>
  <c r="D19" i="22" l="1"/>
  <c r="D115" i="42"/>
  <c r="E115" i="42" s="1"/>
  <c r="D20" i="22" s="1"/>
  <c r="E51" i="27"/>
  <c r="F53" i="24" s="1"/>
  <c r="M53" i="24" s="1"/>
  <c r="M60" i="24" s="1"/>
  <c r="E73" i="24" s="1"/>
  <c r="I96" i="24" s="1"/>
  <c r="F27" i="44"/>
  <c r="E58" i="27" s="1"/>
  <c r="F60" i="24" s="1"/>
  <c r="D51" i="27"/>
  <c r="H20" i="44"/>
  <c r="K19" i="22"/>
  <c r="D107" i="42"/>
  <c r="E107" i="42" s="1"/>
  <c r="K20" i="22" s="1"/>
  <c r="J19" i="22"/>
  <c r="J20" i="22"/>
  <c r="E19" i="22"/>
  <c r="E108" i="42"/>
  <c r="F19" i="22"/>
  <c r="T19" i="22"/>
  <c r="D105" i="42"/>
  <c r="E105" i="42" s="1"/>
  <c r="T20" i="22" s="1"/>
  <c r="I19" i="22"/>
  <c r="M19" i="22"/>
  <c r="Q19" i="22" s="1"/>
  <c r="X13" i="22" l="1"/>
  <c r="X12" i="22"/>
  <c r="H27" i="44"/>
  <c r="E53" i="24"/>
  <c r="X11" i="22"/>
  <c r="G52" i="24" s="1"/>
  <c r="K52" i="24" s="1"/>
  <c r="X15" i="22"/>
  <c r="G21" i="24" s="1"/>
  <c r="K21" i="24" s="1"/>
  <c r="X17" i="22"/>
  <c r="X18" i="22"/>
  <c r="X16" i="22"/>
  <c r="E20" i="22"/>
  <c r="F20" i="22"/>
  <c r="R20" i="22"/>
  <c r="M20" i="22"/>
  <c r="X14" i="22"/>
  <c r="Y13" i="22" l="1"/>
  <c r="Y12" i="22"/>
  <c r="G58" i="24"/>
  <c r="K58" i="24" s="1"/>
  <c r="G19" i="24"/>
  <c r="K19" i="24" s="1"/>
  <c r="G24" i="24"/>
  <c r="K24" i="24" s="1"/>
  <c r="G23" i="24"/>
  <c r="K23" i="24" s="1"/>
  <c r="G56" i="24"/>
  <c r="K56" i="24" s="1"/>
  <c r="G59" i="24"/>
  <c r="K59" i="24" s="1"/>
  <c r="G54" i="24"/>
  <c r="K54" i="24" s="1"/>
  <c r="G17" i="24"/>
  <c r="G57" i="24"/>
  <c r="K57" i="24" s="1"/>
  <c r="G22" i="24"/>
  <c r="K22" i="24" s="1"/>
  <c r="G18" i="24"/>
  <c r="K18" i="24" s="1"/>
  <c r="G53" i="24"/>
  <c r="Y17" i="22"/>
  <c r="Y18" i="22"/>
  <c r="Y14" i="22"/>
  <c r="Y11" i="22"/>
  <c r="H52" i="24" s="1"/>
  <c r="Y15" i="22"/>
  <c r="Y16" i="22"/>
  <c r="G20" i="24"/>
  <c r="K20" i="24" s="1"/>
  <c r="G55" i="24"/>
  <c r="K55" i="24" s="1"/>
  <c r="K53" i="24" l="1"/>
  <c r="K60" i="24" s="1"/>
  <c r="C73" i="24" s="1"/>
  <c r="G60" i="24"/>
  <c r="K17" i="24"/>
  <c r="K25" i="24" s="1"/>
  <c r="C38" i="24" s="1"/>
  <c r="G25" i="24"/>
  <c r="H58" i="24"/>
  <c r="L58" i="24" s="1"/>
  <c r="H23" i="24"/>
  <c r="L23" i="24" s="1"/>
  <c r="H57" i="24"/>
  <c r="L57" i="24" s="1"/>
  <c r="H22" i="24"/>
  <c r="L22" i="24" s="1"/>
  <c r="H56" i="24"/>
  <c r="L56" i="24" s="1"/>
  <c r="H21" i="24"/>
  <c r="L21" i="24" s="1"/>
  <c r="O21" i="24" s="1"/>
  <c r="P21" i="24" s="1"/>
  <c r="H24" i="24"/>
  <c r="L24" i="24" s="1"/>
  <c r="H59" i="24"/>
  <c r="L59" i="24" s="1"/>
  <c r="H19" i="24"/>
  <c r="L19" i="24" s="1"/>
  <c r="H54" i="24"/>
  <c r="L54" i="24" s="1"/>
  <c r="H18" i="24"/>
  <c r="L18" i="24" s="1"/>
  <c r="H53" i="24"/>
  <c r="L52" i="24"/>
  <c r="H17" i="24"/>
  <c r="H20" i="24"/>
  <c r="L20" i="24" s="1"/>
  <c r="O20" i="24" s="1"/>
  <c r="P20" i="24" s="1"/>
  <c r="H55" i="24"/>
  <c r="L55" i="24" s="1"/>
  <c r="G96" i="24" l="1"/>
  <c r="L53" i="24"/>
  <c r="L60" i="24" s="1"/>
  <c r="D73" i="24" s="1"/>
  <c r="H60" i="24"/>
  <c r="L17" i="24"/>
  <c r="L25" i="24" s="1"/>
  <c r="H25" i="24"/>
  <c r="O58" i="24"/>
  <c r="P58" i="24" s="1"/>
  <c r="O55" i="24"/>
  <c r="P55" i="24" s="1"/>
  <c r="O59" i="24"/>
  <c r="P59" i="24" s="1"/>
  <c r="O52" i="24"/>
  <c r="P52" i="24" s="1"/>
  <c r="O56" i="24"/>
  <c r="P56" i="24" s="1"/>
  <c r="O57" i="24"/>
  <c r="P57" i="24" s="1"/>
  <c r="O54" i="24"/>
  <c r="P54" i="24" s="1"/>
  <c r="O22" i="24"/>
  <c r="P22" i="24" s="1"/>
  <c r="O18" i="24"/>
  <c r="P18" i="24" s="1"/>
  <c r="O23" i="24"/>
  <c r="P23" i="24" s="1"/>
  <c r="O19" i="24"/>
  <c r="P19" i="24" s="1"/>
  <c r="O24" i="24"/>
  <c r="P24" i="24" s="1"/>
  <c r="O53" i="24" l="1"/>
  <c r="P53" i="24" s="1"/>
  <c r="Q53" i="24" s="1"/>
  <c r="O60" i="24"/>
  <c r="P60" i="24" s="1"/>
  <c r="Q60" i="24" s="1"/>
  <c r="O25" i="24"/>
  <c r="P25" i="24" s="1"/>
  <c r="Q25" i="24" s="1"/>
  <c r="D38" i="24"/>
  <c r="H96" i="24" s="1"/>
  <c r="O17" i="24"/>
  <c r="P17" i="24" s="1"/>
  <c r="Q17" i="24" s="1"/>
  <c r="F69" i="24"/>
  <c r="F36" i="24"/>
  <c r="F34" i="24"/>
  <c r="F68" i="24"/>
  <c r="F65" i="24"/>
  <c r="F31" i="24"/>
  <c r="F30" i="24"/>
  <c r="F33" i="24"/>
  <c r="F71" i="24"/>
  <c r="F32" i="24"/>
  <c r="F70" i="24"/>
  <c r="F37" i="24"/>
  <c r="F72" i="24"/>
  <c r="F35" i="24"/>
  <c r="F67" i="24"/>
  <c r="E68" i="24"/>
  <c r="E36" i="24"/>
  <c r="E32" i="24"/>
  <c r="E65" i="24"/>
  <c r="E33" i="24"/>
  <c r="E30" i="24"/>
  <c r="E69" i="24"/>
  <c r="E35" i="24"/>
  <c r="E66" i="24"/>
  <c r="E67" i="24"/>
  <c r="F66" i="24"/>
  <c r="E37" i="24"/>
  <c r="E72" i="24"/>
  <c r="E31" i="24"/>
  <c r="E34" i="24"/>
  <c r="E70" i="24"/>
  <c r="E71" i="24"/>
  <c r="C32" i="24"/>
  <c r="C71" i="24"/>
  <c r="C34" i="24"/>
  <c r="C37" i="24"/>
  <c r="C69" i="24"/>
  <c r="C66" i="24"/>
  <c r="C67" i="24"/>
  <c r="C31" i="24"/>
  <c r="C70" i="24"/>
  <c r="C35" i="24"/>
  <c r="C33" i="24"/>
  <c r="C36" i="24"/>
  <c r="C68" i="24"/>
  <c r="Q21" i="24"/>
  <c r="C30" i="24"/>
  <c r="C72" i="24"/>
  <c r="C65" i="24"/>
  <c r="D33" i="24"/>
  <c r="D72" i="24"/>
  <c r="D35" i="24"/>
  <c r="D32" i="24"/>
  <c r="D36" i="24"/>
  <c r="Q20" i="24"/>
  <c r="D70" i="24"/>
  <c r="D34" i="24"/>
  <c r="D31" i="24"/>
  <c r="D37" i="24"/>
  <c r="D30" i="24"/>
  <c r="D68" i="24"/>
  <c r="D66" i="24"/>
  <c r="D65" i="24"/>
  <c r="D67" i="24"/>
  <c r="D71" i="24"/>
  <c r="D69" i="24"/>
  <c r="Q19" i="24"/>
  <c r="Q18" i="24"/>
  <c r="Q57" i="24"/>
  <c r="Q56" i="24"/>
  <c r="Q22" i="24"/>
  <c r="Q54" i="24"/>
  <c r="Q52" i="24"/>
  <c r="Q59" i="24"/>
  <c r="Q55" i="24"/>
  <c r="Q24" i="24"/>
  <c r="Q23" i="24"/>
  <c r="Q58" i="24"/>
  <c r="C96" i="24" l="1"/>
  <c r="D96" i="24" s="1"/>
  <c r="E74" i="24"/>
  <c r="O89" i="24" s="1"/>
  <c r="D74" i="24"/>
  <c r="N89" i="24" s="1"/>
  <c r="C74" i="24"/>
  <c r="M89" i="24" s="1"/>
  <c r="E39" i="24"/>
  <c r="O88" i="24" s="1"/>
  <c r="F74" i="24"/>
  <c r="P89" i="24" s="1"/>
  <c r="D39" i="24"/>
  <c r="N88" i="24" s="1"/>
  <c r="C39" i="24"/>
  <c r="M88" i="24" s="1"/>
  <c r="F39" i="24"/>
  <c r="P88" i="24" s="1"/>
  <c r="H95" i="24"/>
  <c r="I92" i="24"/>
  <c r="H94" i="24"/>
  <c r="C92" i="24"/>
  <c r="C91" i="24"/>
  <c r="G91" i="24"/>
  <c r="C93" i="24"/>
  <c r="G95" i="24"/>
  <c r="G89" i="24"/>
  <c r="J91" i="24"/>
  <c r="G90" i="24"/>
  <c r="C90" i="24"/>
  <c r="J92" i="24"/>
  <c r="G93" i="24"/>
  <c r="I90" i="24"/>
  <c r="J94" i="24"/>
  <c r="C88" i="24"/>
  <c r="D88" i="24" s="1"/>
  <c r="J93" i="24"/>
  <c r="J89" i="24"/>
  <c r="G94" i="24"/>
  <c r="G88" i="24"/>
  <c r="I93" i="24"/>
  <c r="J88" i="24"/>
  <c r="C95" i="24"/>
  <c r="H90" i="24"/>
  <c r="I89" i="24"/>
  <c r="I88" i="24"/>
  <c r="C89" i="24"/>
  <c r="H88" i="24"/>
  <c r="H93" i="24"/>
  <c r="I91" i="24"/>
  <c r="J95" i="24"/>
  <c r="C94" i="24"/>
  <c r="G92" i="24"/>
  <c r="I95" i="24"/>
  <c r="H89" i="24"/>
  <c r="H91" i="24"/>
  <c r="J90" i="24"/>
  <c r="H92" i="24"/>
  <c r="I94" i="24"/>
  <c r="S89" i="24" l="1"/>
  <c r="B100" i="45" s="1"/>
  <c r="D91" i="24"/>
  <c r="D90" i="24"/>
  <c r="D92" i="24"/>
  <c r="D89" i="24"/>
  <c r="D93" i="24"/>
  <c r="D94" i="24"/>
  <c r="D95" i="24"/>
  <c r="J97" i="24"/>
  <c r="H97" i="24"/>
  <c r="I97" i="24"/>
  <c r="G97" i="24"/>
  <c r="D148" i="24" l="1"/>
  <c r="E148" i="24" s="1"/>
  <c r="G39" i="24" s="1"/>
  <c r="Q88" i="24" s="1"/>
  <c r="C97" i="24" l="1"/>
  <c r="C99" i="24" s="1"/>
  <c r="B98" i="45" s="1"/>
  <c r="S88" i="24"/>
  <c r="B99" i="45" s="1"/>
  <c r="H59" i="45" l="1"/>
  <c r="J59" i="45"/>
  <c r="M59"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Klaske Geene</author>
  </authors>
  <commentList>
    <comment ref="C22" authorId="0" shapeId="0" xr:uid="{425C0C3E-A676-4970-94F7-9BCD2B0A9909}">
      <text>
        <r>
          <rPr>
            <b/>
            <sz val="9"/>
            <color indexed="81"/>
            <rFont val="Tahoma"/>
            <family val="2"/>
          </rPr>
          <t>Klaske Geene:</t>
        </r>
        <r>
          <rPr>
            <sz val="9"/>
            <color indexed="81"/>
            <rFont val="Tahoma"/>
            <family val="2"/>
          </rPr>
          <t xml:space="preserve">
Beschermen dat het niet weggehaald kan worden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tc={E85CA979-31F4-4CEC-AA5A-AEBEE688AD91}</author>
    <author>tc={80E845D2-3201-4ADC-8025-71B67A3A407F}</author>
    <author>tc={AB4A28FA-25DD-4562-9A15-CC69A5152A33}</author>
    <author>tc={D1953FFD-5A85-4473-8F3F-919187D4B759}</author>
    <author>tc={B8FD6C2D-F371-4E19-83B1-C5B454099E53}</author>
    <author>tc={0C914B36-A7B2-4DAB-8587-2D6D9E4B3CC2}</author>
    <author>tc={8591089F-F3E3-4E55-B5F4-532540874CA1}</author>
    <author>tc={120A8CC0-6584-4F65-8555-AFB6B06F2933}</author>
    <author>tc={A4F91933-3977-43B2-BA1E-8F0E738B1B40}</author>
    <author>tc={EC02B5C0-3D45-4813-863C-8F2BC2E2D37C}</author>
    <author>tc={DC03257D-3011-4E06-A047-F4EA5690D71F}</author>
    <author>tc={BA2907FB-91E1-4BFD-A783-457586B962A6}</author>
    <author>tc={B7091F5C-3E99-4D07-BE30-EE7292B9333E}</author>
    <author>tc={7743CCB2-9BD4-4496-8F0D-46B3D6625F70}</author>
    <author>tc={E711F49A-04DF-4EAB-984F-966F31812F65}</author>
    <author>tc={6F4CBD56-A18F-41DD-B622-487D02DA726F}</author>
    <author>tc={B5DD7442-A253-42C1-930F-45DB83699DE8}</author>
    <author>tc={510CE3A5-AD89-430D-9540-EC73C7A1E5CA}</author>
    <author>tc={AE38C704-AEAB-477F-8DFC-E5D4B837DAB4}</author>
    <author>tc={D088E9EF-0C1F-4218-AB64-ED24444B188E}</author>
  </authors>
  <commentList>
    <comment ref="B25" authorId="0" shapeId="0" xr:uid="{E85CA979-31F4-4CEC-AA5A-AEBEE688AD91}">
      <text>
        <t>[Opmerkingenthread]
U kunt deze opmerkingenthread lezen in uw versie van Excel. Eventuele wijzigingen aan de thread gaan echter verloren als het bestand wordt geopend in een nieuwere versie van Excel. Meer informatie: https://go.microsoft.com/fwlink/?linkid=870924
Opmerking:
    Wegens het ontbreken van data, is voor de categorie overig het gemiddelde  van de andere categorieen genomen</t>
      </text>
    </comment>
    <comment ref="C28" authorId="1" shapeId="0" xr:uid="{80E845D2-3201-4ADC-8025-71B67A3A407F}">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voor hergebruik</t>
      </text>
    </comment>
    <comment ref="D28" authorId="2" shapeId="0" xr:uid="{AB4A28FA-25DD-4562-9A15-CC69A5152A33}">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recycling</t>
      </text>
    </comment>
    <comment ref="E28" authorId="3" shapeId="0" xr:uid="{D1953FFD-5A85-4473-8F3F-919187D4B759}">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verbranding</t>
      </text>
    </comment>
    <comment ref="F28" authorId="4" shapeId="0" xr:uid="{B8FD6C2D-F371-4E19-83B1-C5B454099E53}">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transport </t>
      </text>
    </comment>
    <comment ref="C63" authorId="5" shapeId="0" xr:uid="{0C914B36-A7B2-4DAB-8587-2D6D9E4B3CC2}">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voor hergebruik</t>
      </text>
    </comment>
    <comment ref="D63" authorId="6" shapeId="0" xr:uid="{8591089F-F3E3-4E55-B5F4-532540874CA1}">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recycling</t>
      </text>
    </comment>
    <comment ref="E63" authorId="7" shapeId="0" xr:uid="{120A8CC0-6584-4F65-8555-AFB6B06F2933}">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verbranding</t>
      </text>
    </comment>
    <comment ref="F63" authorId="8" shapeId="0" xr:uid="{A4F91933-3977-43B2-BA1E-8F0E738B1B40}">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transport </t>
      </text>
    </comment>
    <comment ref="G86" authorId="9" shapeId="0" xr:uid="{EC02B5C0-3D45-4813-863C-8F2BC2E2D37C}">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voor hergebruik</t>
      </text>
    </comment>
    <comment ref="H86" authorId="10" shapeId="0" xr:uid="{DC03257D-3011-4E06-A047-F4EA5690D71F}">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recycling</t>
      </text>
    </comment>
    <comment ref="I86" authorId="11" shapeId="0" xr:uid="{BA2907FB-91E1-4BFD-A783-457586B962A6}">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verbranding</t>
      </text>
    </comment>
    <comment ref="J86" authorId="12" shapeId="0" xr:uid="{B7091F5C-3E99-4D07-BE30-EE7292B9333E}">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transport </t>
      </text>
    </comment>
    <comment ref="M86" authorId="13" shapeId="0" xr:uid="{7743CCB2-9BD4-4496-8F0D-46B3D6625F70}">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voor hergebruik</t>
      </text>
    </comment>
    <comment ref="N86" authorId="14" shapeId="0" xr:uid="{E711F49A-04DF-4EAB-984F-966F31812F65}">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recycling</t>
      </text>
    </comment>
    <comment ref="O86" authorId="15" shapeId="0" xr:uid="{6F4CBD56-A18F-41DD-B622-487D02DA726F}">
      <text>
        <t>[Opmerkingenthread]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de hoeveelheid ton verbranding</t>
      </text>
    </comment>
    <comment ref="P86" authorId="16" shapeId="0" xr:uid="{B5DD7442-A253-42C1-930F-45DB83699DE8}">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Totale impact voor transport </t>
      </text>
    </comment>
    <comment ref="L112" authorId="17" shapeId="0" xr:uid="{510CE3A5-AD89-430D-9540-EC73C7A1E5CA}">
      <text>
        <t>[Opmerkingenthread]
U kunt deze opmerkingenthread lezen in uw versie van Excel. Eventuele wijzigingen aan de thread gaan echter verloren als het bestand wordt geopend in een nieuwere versie van Excel. Meer informatie: https://go.microsoft.com/fwlink/?linkid=870924
Opmerking:
    Er zijn aannames gemaakt voor het transport per productgroep. De totaalverdeling auto/vrachtwagen komt overeen met de data van BKN.</t>
      </text>
    </comment>
    <comment ref="M114" authorId="18" shapeId="0" xr:uid="{AE38C704-AEAB-477F-8DFC-E5D4B837DAB4}">
      <text>
        <t>[Opmerkingenthread]
U kunt deze opmerkingenthread lezen in uw versie van Excel. Eventuele wijzigingen aan de thread gaan echter verloren als het bestand wordt geopend in een nieuwere versie van Excel. Meer informatie: https://go.microsoft.com/fwlink/?linkid=870924
Opmerking:
    8,72% van de totale hoeveelheid goederen wordt door een vrachtwagen opgehaald uit textielcontainers. Textiel is 13,32% van de totaalhoeveelheid goederen. 8,72%*100%:13,32% = 65,47%</t>
      </text>
    </comment>
    <comment ref="C126" authorId="19" shapeId="0" xr:uid="{D088E9EF-0C1F-4218-AB64-ED24444B188E}">
      <text>
        <t>[Opmerkingenthread]
U kunt deze opmerkingenthread lezen in uw versie van Excel. Eventuele wijzigingen aan de thread gaan echter verloren als het bestand wordt geopend in een nieuwere versie van Excel. Meer informatie: https://go.microsoft.com/fwlink/?linkid=870924
Opmerking:
    De verdeling auto/vrachtwagen is gebaseerd op aannames. Hiervan is uitgegaan van 50/50, tenzij dit onwaarschijnlijk is.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tc={32741D09-A76C-4877-A630-94F2EE0BE241}</author>
    <author>tc={94F34043-9521-449D-BEE7-1CA60DDD5479}</author>
    <author>tc={692F7E1D-5656-4F8B-BFF7-C05DA467EA74}</author>
    <author>tc={1A81F752-2397-4FC4-B643-B48FAA2FE9E8}</author>
    <author>tc={443001D9-0238-4082-9A6A-9EC12570F051}</author>
    <author>tc={EE3A3114-9B6C-45E0-83E1-2FDEE3B6C794}</author>
    <author>tc={49350D0D-A0DB-4C23-ABD5-20E694986962}</author>
  </authors>
  <commentList>
    <comment ref="P10" authorId="0" shapeId="0" xr:uid="{32741D09-A76C-4877-A630-94F2EE0BE241}">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Electronische component/printplaat
</t>
      </text>
    </comment>
    <comment ref="Q10" authorId="1" shapeId="0" xr:uid="{94F34043-9521-449D-BEE7-1CA60DDD5479}">
      <text>
        <t>[Opmerkingenthread]
U kunt deze opmerkingenthread lezen in uw versie van Excel. Eventuele wijzigingen aan de thread gaan echter verloren als het bestand wordt geopend in een nieuwere versie van Excel. Meer informatie: https://go.microsoft.com/fwlink/?linkid=870924
Opmerking:
    50/50 mix katoen en polyester</t>
      </text>
    </comment>
    <comment ref="M13" authorId="2" shapeId="0" xr:uid="{692F7E1D-5656-4F8B-BFF7-C05DA467EA74}">
      <text>
        <t>[Opmerkingenthread]
U kunt deze opmerkingenthread lezen in uw versie van Excel. Eventuele wijzigingen aan de thread gaan echter verloren als het bestand wordt geopend in een nieuwere versie van Excel. Meer informatie: https://go.microsoft.com/fwlink/?linkid=870924
Opmerking:
    Plastic + Coatings</t>
      </text>
    </comment>
    <comment ref="Q13" authorId="3" shapeId="0" xr:uid="{1A81F752-2397-4FC4-B643-B48FAA2FE9E8}">
      <text>
        <t>[Opmerkingenthread]
U kunt deze opmerkingenthread lezen in uw versie van Excel. Eventuele wijzigingen aan de thread gaan echter verloren als het bestand wordt geopend in een nieuwere versie van Excel. Meer informatie: https://go.microsoft.com/fwlink/?linkid=870924
Opmerking:
    Textile &amp; leather hier op geplaatst, is een passende proxy</t>
      </text>
    </comment>
    <comment ref="V13" authorId="4" shapeId="0" xr:uid="{443001D9-0238-4082-9A6A-9EC12570F051}">
      <text>
        <t>[Opmerkingenthread]
U kunt deze opmerkingenthread lezen in uw versie van Excel. Eventuele wijzigingen aan de thread gaan echter verloren als het bestand wordt geopend in een nieuwere versie van Excel. Meer informatie: https://go.microsoft.com/fwlink/?linkid=870924
Opmerking:
    Unspecified (CBS) is o.b.v. ⅓ verhouding verdeeld tussen de drie grootste materiaal (dus MDF, Staal, Hout). Dus deze categorien krijgen +(1/3x23%)</t>
      </text>
    </comment>
    <comment ref="U14" authorId="5" shapeId="0" xr:uid="{EE3A3114-9B6C-45E0-83E1-2FDEE3B6C794}">
      <text>
        <t>[Opmerkingenthread]
U kunt deze opmerkingenthread lezen in uw versie van Excel. Eventuele wijzigingen aan de thread gaan echter verloren als het bestand wordt geopend in een nieuwere versie van Excel. Meer informatie: https://go.microsoft.com/fwlink/?linkid=870924
Opmerking:
    In dit geval steen/keramiek</t>
      </text>
    </comment>
    <comment ref="Q20" authorId="6" shapeId="0" xr:uid="{49350D0D-A0DB-4C23-ABD5-20E694986962}">
      <text>
        <t>[Opmerkingenthread]
U kunt deze opmerkingenthread lezen in uw versie van Excel. Eventuele wijzigingen aan de thread gaan echter verloren als het bestand wordt geopend in een nieuwere versie van Excel. Meer informatie: https://go.microsoft.com/fwlink/?linkid=870924
Opmerking:
    (09-2024) Polykatoen wordt niet/nauwelijks gerecycled omdat dit een lastig te recyclen materiaal is. Recycle technieken zijn op dit moment in een laag TRL (onder TRL 5/6). Daarom wordt de impact van verbranding aangenomen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tc={5BD8C597-74B4-4CDD-BF0F-7E663DDA969A}</author>
    <author>tc={1DAF400D-56AD-45BC-953E-B14BD116378C}</author>
    <author>tc={90B3B704-EB51-4BF9-B5CF-0C8278079DB1}</author>
    <author>tc={D59D4CAB-3D2D-4813-9DD5-8AB70069B571}</author>
    <author>tc={88EFF531-EFBD-46F8-89C3-310B732CE286}</author>
    <author>tc={F6871D8E-A4A5-4BC8-86C0-225DD380668C}</author>
    <author>tc={BB571116-D049-4E29-BE91-2B4DF0F25B73}</author>
    <author>tc={DF874F0D-B383-4804-95BF-C287E0C4ED9A}</author>
    <author>tc={146065B8-F895-4C8F-8FEB-BC3B0EA830BE}</author>
    <author>tc={3E94C9E4-C993-4472-9270-5D61B756526D}</author>
    <author>tc={79ECA7C1-4DD0-48E9-9D61-1B88A324C912}</author>
    <author>tc={4AA4B235-51D9-49E0-9A74-18158571A10A}</author>
  </authors>
  <commentList>
    <comment ref="C34" authorId="0" shapeId="0" xr:uid="{5BD8C597-74B4-4CDD-BF0F-7E663DDA969A}">
      <text>
        <t>[Opmerkingenthread]
U kunt deze opmerkingenthread lezen in uw versie van Excel. Eventuele wijzigingen aan de thread gaan echter verloren als het bestand wordt geopend in een nieuwere versie van Excel. Meer informatie: https://go.microsoft.com/fwlink/?linkid=870924
Opmerking:
    Densitiy between 500 kg/m3 en 1000 kg/m3. Gemiddeld dus: 1/(750 kg/m3)=0,0013333 m3</t>
      </text>
    </comment>
    <comment ref="D34" authorId="1" shapeId="0" xr:uid="{1DAF400D-56AD-45BC-953E-B14BD116378C}">
      <text>
        <t>[Opmerkingenthread]
U kunt deze opmerkingenthread lezen in uw versie van Excel. Eventuele wijzigingen aan de thread gaan echter verloren als het bestand wordt geopend in een nieuwere versie van Excel. Meer informatie: https://go.microsoft.com/fwlink/?linkid=870924
Opmerking:
    RER (Europa) gekozen omdat het aannemelijk is dat hout uit Europa komt</t>
      </text>
    </comment>
    <comment ref="B35" authorId="2" shapeId="0" xr:uid="{90B3B704-EB51-4BF9-B5CF-0C8278079DB1}">
      <text>
        <t>[Opmerkingenthread]
U kunt deze opmerkingenthread lezen in uw versie van Excel. Eventuele wijzigingen aan de thread gaan echter verloren als het bestand wordt geopend in een nieuwere versie van Excel. Meer informatie: https://go.microsoft.com/fwlink/?linkid=870924
Opmerking:
    Zelfde density aangehouden als voor uncoated</t>
      </text>
    </comment>
    <comment ref="C37" authorId="3" shapeId="0" xr:uid="{D59D4CAB-3D2D-4813-9DD5-8AB70069B571}">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Hardwood=640kg/m3
Bron: Werner-Background report for the life cycle inventories of wood and wood based products for updates of ecoinvent 2.2  
1/(640 kg/m3)=0,0015625 m3
</t>
      </text>
    </comment>
    <comment ref="D37" authorId="4" shapeId="0" xr:uid="{88EFF531-EFBD-46F8-89C3-310B732CE286}">
      <text>
        <t>[Opmerkingenthread]
U kunt deze opmerkingenthread lezen in uw versie van Excel. Eventuele wijzigingen aan de thread gaan echter verloren als het bestand wordt geopend in een nieuwere versie van Excel. Meer informatie: https://go.microsoft.com/fwlink/?linkid=870924
Opmerking:
    RER (Europa) gekozen omdat het aannemelijk is dat hout uit Europa komt</t>
      </text>
    </comment>
    <comment ref="C38" authorId="5" shapeId="0" xr:uid="{F6871D8E-A4A5-4BC8-86C0-225DD380668C}">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Softwood=440kg/m3
Bron: Werner-Background report for the life cycle inventories of wood and wood based products for updates of ecoinvent 2.2 
1/(440 kg/m3)=0,0022727 m3
</t>
      </text>
    </comment>
    <comment ref="D38" authorId="6" shapeId="0" xr:uid="{BB571116-D049-4E29-BE91-2B4DF0F25B73}">
      <text>
        <t>[Opmerkingenthread]
U kunt deze opmerkingenthread lezen in uw versie van Excel. Eventuele wijzigingen aan de thread gaan echter verloren als het bestand wordt geopend in een nieuwere versie van Excel. Meer informatie: https://go.microsoft.com/fwlink/?linkid=870924
Opmerking:
    RER (Europa) gekozen omdat het aannemelijk is dat hout uit Europa komt</t>
      </text>
    </comment>
    <comment ref="D39" authorId="7" shapeId="0" xr:uid="{DF874F0D-B383-4804-95BF-C287E0C4ED9A}">
      <text>
        <t>[Opmerkingenthread]
U kunt deze opmerkingenthread lezen in uw versie van Excel. Eventuele wijzigingen aan de thread gaan echter verloren als het bestand wordt geopend in een nieuwere versie van Excel. Meer informatie: https://go.microsoft.com/fwlink/?linkid=870924
Opmerking:
    Deze 3 toegevoegd omdat hout meubilair vaak nog bewerkt wordt, zowel chemische behandeling als het verven vind nog plaats nadat het ‘’kale’’ hout wordt aangeleverd in de fabriek</t>
      </text>
    </comment>
    <comment ref="C63" authorId="8" shapeId="0" xr:uid="{146065B8-F895-4C8F-8FEB-BC3B0EA830BE}">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The product "concrete, 40MPa" represents 40MPa ready-mix concrete. The composition of concrete (for 1 m³) contains: Portland fly ash cement 365kg, Water 132kg, Gravel 1050kg, Sand 855 kg, Admixtures (air-entrainers and superplastisizers) 4.63kg. </t>
      </text>
    </comment>
    <comment ref="F115" authorId="9" shapeId="0" xr:uid="{3E94C9E4-C993-4472-9270-5D61B756526D}">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Beperkte hoeveelheid kwalitatief goede wetenschappelijke onderzoeken te vinden over dit materiaal. Bij toekomstige update van de tool is gewenst dat er opnieuw literatuuronderzoek plaatsvindt.
</t>
      </text>
    </comment>
    <comment ref="F116" authorId="10" shapeId="0" xr:uid="{79ECA7C1-4DD0-48E9-9D61-1B88A324C912}">
      <text>
        <t>[Opmerkingenthread]
U kunt deze opmerkingenthread lezen in uw versie van Excel. Eventuele wijzigingen aan de thread gaan echter verloren als het bestand wordt geopend in een nieuwere versie van Excel. Meer informatie: https://go.microsoft.com/fwlink/?linkid=870924
Opmerking:
    Alleen de waarden voor recycled wol zijn meegenomen. Er zijn geen goede literatuurbronnen gevonden voor de milieuwinst van recycled leer en dons gevonden</t>
      </text>
    </comment>
    <comment ref="F117" authorId="11" shapeId="0" xr:uid="{4AA4B235-51D9-49E0-9A74-18158571A10A}">
      <text>
        <t>[Opmerkingenthread]
U kunt deze opmerkingenthread lezen in uw versie van Excel. Eventuele wijzigingen aan de thread gaan echter verloren als het bestand wordt geopend in een nieuwere versie van Excel. Meer informatie: https://go.microsoft.com/fwlink/?linkid=870924
Opmerking:
    Beperkte hoeveelheid kwalitatief goede wetenschappelijke onderzoeken te vinden over dit materiaal. Bij toekomstige update van de tool is gewenst dat er opnieuw literatuuronderzoek plaatsvindt.</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tc={F2E58F5B-4D14-4EE9-8B23-D98ED98CEC49}</author>
    <author>Kupfērnagel, Juliane (RWS WVL)</author>
    <author>tc={95857307-FA55-4F5D-A88D-F6C38F2C3563}</author>
    <author>tc={955DF9A3-EA7C-4575-94D3-04BED6836C8F}</author>
    <author>tc={A880F1AC-8634-4133-A0E1-AD56F70E9781}</author>
    <author>tc={5A42A8D4-71BC-476E-8CAE-D7F877B1591B}</author>
    <author>tc={3B43CB7A-6C30-4EF3-B750-3E3E0B882BF3}</author>
    <author>tc={0DB63045-50FA-42E0-8FA8-367C43C5E712}</author>
    <author>tc={0A65A118-F309-435D-9BB5-74E8472FB7DC}</author>
    <author>tc={E68E9B20-CE72-444D-BE59-D1D1480B35B1}</author>
    <author>tc={2AB28B61-1D49-47A1-9C40-98A43BFCCCD2}</author>
    <author>tc={55195477-D795-4CFB-810A-AEC2F8746E68}</author>
    <author>tc={8C2CCF43-0D3D-4D02-8BB0-226FC9EE731F}</author>
    <author>tc={16BB44CC-4297-48A6-9A35-25381B1ADE56}</author>
    <author>tc={A82F5A8C-0674-424D-AF1D-8F5F3723159F}</author>
    <author>tc={F6894916-25B7-4253-AC0F-30C57DDCEE21}</author>
    <author>tc={74057267-EF88-4E0A-B465-9ECA23BCC8A7}</author>
    <author>tc={6B93E321-6534-4E2A-A510-57899109CDFB}</author>
    <author>tc={745F146B-0271-4D6E-B0D8-D29E20CEDC30}</author>
    <author>tc={4E0421E7-8505-4C1E-B772-2E0619CD95E2}</author>
    <author>tc={559280A5-FA10-4BC8-BAE1-57E2D8BF0C34}</author>
    <author>tc={70395E30-EAF1-434A-A42A-F44497CF4D20}</author>
    <author>tc={C9E8D5E2-66C3-421B-BB12-B1A06450DA20}</author>
    <author>tc={638FCE7B-41C0-4E82-B88B-31B9DEB0D6A5}</author>
    <author>tc={4C17FF83-90E6-422A-A46C-E07FE67E09B0}</author>
    <author>tc={207A142C-57F7-45B2-AA26-B0970FC819FF}</author>
    <author>tc={8939167B-C924-45FC-BB30-A37578DB1F2A}</author>
    <author>tc={07222D94-C72B-4E8D-B64E-35BD5845E672}</author>
    <author>tc={8E09BEAF-3D70-4D0A-90C0-12F8ADAF1EB1}</author>
    <author>tc={276DBC86-4289-47FD-AC0A-63A6154D86C7}</author>
    <author>tc={D4FDFEB4-0358-41ED-9D37-FCF94EC3470C}</author>
    <author>tc={D1BC71AF-ED39-4660-9C09-8FAE7F4E1DD0}</author>
    <author>tc={C0043627-6C15-434B-983D-0F0E30AB6E37}</author>
    <author>tc={9C81A907-3510-4592-8B55-DA1736FE365A}</author>
    <author>tc={FC9D8822-A2DF-43A6-A39B-9347BDF3952B}</author>
    <author>tc={5EECCA93-ECCD-4F41-9D23-CE2F884304B8}</author>
    <author>tc={22FBBDF0-B90D-4DEA-8954-3EF0AF68AFE9}</author>
    <author>tc={C3B9D46C-90E5-4838-99C2-0E9003E7C309}</author>
    <author>tc={CCD007C8-E150-44EA-BD94-0B85914626D3}</author>
    <author>tc={7DE3D9F2-1A42-4F78-B717-F42DB7E5F14F}</author>
    <author>tc={2D18DD44-47AD-40AA-9D71-C883B4406183}</author>
    <author>tc={DD12A0EC-23E4-437B-9CB6-4BB8448825FD}</author>
    <author>tc={FB1618BB-A0B5-4288-ABE2-6818C82294FA}</author>
  </authors>
  <commentList>
    <comment ref="C9" authorId="0" shapeId="0" xr:uid="{F2E58F5B-4D14-4EE9-8B23-D98ED98CEC49}">
      <text>
        <t>[Opmerkingenthread]
U kunt deze opmerkingenthread lezen in uw versie van Excel. Eventuele wijzigingen aan de thread gaan echter verloren als het bestand wordt geopend in een nieuwere versie van Excel. Meer informatie: https://go.microsoft.com/fwlink/?linkid=870924
Opmerking:
    In overleg met RWS (Juliane Kupfernagel en Guus van den Berghe) en BKN (Liza Hoefnagels) worden de (zeer lage) percentages voor storten bij verbranding opgeteld. Gezien er een stortverbod geldt, is dit ook realistischer.</t>
      </text>
    </comment>
    <comment ref="I10" authorId="1" shapeId="0" xr:uid="{6E10E213-52C2-4F3E-BBF9-EF51F3D6EB2D}">
      <text>
        <r>
          <rPr>
            <b/>
            <sz val="9"/>
            <color indexed="81"/>
            <rFont val="Tahoma"/>
            <family val="2"/>
          </rPr>
          <t>Kupfērnagel, Juliane (RWS WVL):</t>
        </r>
        <r>
          <rPr>
            <sz val="9"/>
            <color indexed="81"/>
            <rFont val="Tahoma"/>
            <family val="2"/>
          </rPr>
          <t xml:space="preserve">
2021
zie berekening rechts, monitor beleidsmonitor textiel en sorteeranalyse</t>
        </r>
      </text>
    </comment>
    <comment ref="I11" authorId="1" shapeId="0" xr:uid="{B83D47A0-89A3-4A0E-BF99-6459DCF07D2F}">
      <text>
        <r>
          <rPr>
            <b/>
            <sz val="9"/>
            <color indexed="81"/>
            <rFont val="Tahoma"/>
            <family val="2"/>
          </rPr>
          <t>Kupfērnagel, Juliane (RWS WVL):</t>
        </r>
        <r>
          <rPr>
            <sz val="9"/>
            <color indexed="81"/>
            <rFont val="Tahoma"/>
            <family val="2"/>
          </rPr>
          <t xml:space="preserve">
2022
zie berekening rechts, weee register en sorteeranalyse</t>
        </r>
      </text>
    </comment>
    <comment ref="I12" authorId="1" shapeId="0" xr:uid="{6C2C5E52-3F9C-40F4-8707-7693ABA5C35F}">
      <text>
        <r>
          <rPr>
            <b/>
            <sz val="9"/>
            <color indexed="81"/>
            <rFont val="Tahoma"/>
            <family val="2"/>
          </rPr>
          <t>Kupfērnagel, Juliane (RWS WVL):</t>
        </r>
        <r>
          <rPr>
            <sz val="9"/>
            <color indexed="81"/>
            <rFont val="Tahoma"/>
            <family val="2"/>
          </rPr>
          <t xml:space="preserve">
onderzoek groot zitmeubilair</t>
        </r>
      </text>
    </comment>
    <comment ref="B19" authorId="1" shapeId="0" xr:uid="{F3909545-0792-4397-851C-3715CEB00297}">
      <text>
        <r>
          <rPr>
            <b/>
            <sz val="9"/>
            <color indexed="81"/>
            <rFont val="Tahoma"/>
            <family val="2"/>
          </rPr>
          <t>Kupfērnagel, Juliane (RWS WVL):</t>
        </r>
        <r>
          <rPr>
            <sz val="9"/>
            <color indexed="81"/>
            <rFont val="Tahoma"/>
            <family val="2"/>
          </rPr>
          <t xml:space="preserve">
deze resultaten komen uit het panelonderzoek voor hergebruik. De verdeling over de verschillende kanalen mag ik niet met jullie delen 
</t>
        </r>
      </text>
    </comment>
    <comment ref="I20" authorId="1" shapeId="0" xr:uid="{6C690FF4-827A-4525-854B-94C9474E690E}">
      <text>
        <r>
          <rPr>
            <b/>
            <sz val="9"/>
            <color indexed="81"/>
            <rFont val="Tahoma"/>
            <family val="2"/>
          </rPr>
          <t>Kupfērnagel, Juliane (RWS WVL):</t>
        </r>
        <r>
          <rPr>
            <sz val="9"/>
            <color indexed="81"/>
            <rFont val="Tahoma"/>
            <family val="2"/>
          </rPr>
          <t xml:space="preserve">
2021
bron onderzoek hergebruik -&gt; KG ecoras: Vervangen door 2022 bron hergebruik </t>
        </r>
      </text>
    </comment>
    <comment ref="I21" authorId="1" shapeId="0" xr:uid="{6EE3AAC8-800B-4A0D-9877-AADB5849F28C}">
      <text>
        <r>
          <rPr>
            <b/>
            <sz val="9"/>
            <color indexed="81"/>
            <rFont val="Tahoma"/>
            <family val="2"/>
          </rPr>
          <t>Kupfērnagel, Juliane (RWS WVL):</t>
        </r>
        <r>
          <rPr>
            <sz val="9"/>
            <color indexed="81"/>
            <rFont val="Tahoma"/>
            <family val="2"/>
          </rPr>
          <t xml:space="preserve">
2022
bron onderzoek hergebruik
</t>
        </r>
      </text>
    </comment>
    <comment ref="CO21" authorId="2" shapeId="0" xr:uid="{95857307-FA55-4F5D-A88D-F6C38F2C3563}">
      <text>
        <t>[Opmerkingenthread]
U kunt deze opmerkingenthread lezen in uw versie van Excel. Eventuele wijzigingen aan de thread gaan echter verloren als het bestand wordt geopend in een nieuwere versie van Excel. Meer informatie: https://go.microsoft.com/fwlink/?linkid=870924
Opmerking:
    Niet alles in de categorie kunststof niet verpakking in het restafval is speelgoed, daarom is het percentage /2 gedaan. Dit is mogelijk nog een hoog getal, maar ook niet al het speelgoed bestaat uit kunststof, dus het is een aanname dat dit elkaar opheft.</t>
      </text>
    </comment>
    <comment ref="CR21" authorId="3" shapeId="0" xr:uid="{955DF9A3-EA7C-4575-94D3-04BED6836C8F}">
      <text>
        <t>[Opmerkingenthread]
U kunt deze opmerkingenthread lezen in uw versie van Excel. Eventuele wijzigingen aan de thread gaan echter verloren als het bestand wordt geopend in een nieuwere versie van Excel. Meer informatie: https://go.microsoft.com/fwlink/?linkid=870924
Opmerking:
    Guus: Van het restafval wordt 70-90% nagescheiden om er waardevolle materialen uit te halen voor recycling. De rest gaat naar verbranden.
Ecoras: Daarom de aanname 50/50</t>
      </text>
    </comment>
    <comment ref="I22" authorId="1" shapeId="0" xr:uid="{9ED284D3-A980-46BD-90BF-B52EC2AEB46A}">
      <text>
        <r>
          <rPr>
            <b/>
            <sz val="9"/>
            <color indexed="81"/>
            <rFont val="Tahoma"/>
            <family val="2"/>
          </rPr>
          <t>Kupfērnagel, Juliane (RWS WVL):</t>
        </r>
        <r>
          <rPr>
            <sz val="9"/>
            <color indexed="81"/>
            <rFont val="Tahoma"/>
            <family val="2"/>
          </rPr>
          <t xml:space="preserve">
onderzoek groot zitmeubilair</t>
        </r>
      </text>
    </comment>
    <comment ref="BZ22" authorId="4" shapeId="0" xr:uid="{A880F1AC-8634-4133-A0E1-AD56F70E9781}">
      <text>
        <t>[Opmerkingenthread]
U kunt deze opmerkingenthread lezen in uw versie van Excel. Eventuele wijzigingen aan de thread gaan echter verloren als het bestand wordt geopend in een nieuwere versie van Excel. Meer informatie: https://go.microsoft.com/fwlink/?linkid=870924
Opmerking:
    Alleen deze stroom binnen al het papier, omdat het bij de kringloop voornamelijk om boeken gaat</t>
      </text>
    </comment>
    <comment ref="CD22" authorId="5" shapeId="0" xr:uid="{5A42A8D4-71BC-476E-8CAE-D7F877B1591B}">
      <text>
        <t>[Opmerkingenthread]
U kunt deze opmerkingenthread lezen in uw versie van Excel. Eventuele wijzigingen aan de thread gaan echter verloren als het bestand wordt geopend in een nieuwere versie van Excel. Meer informatie: https://go.microsoft.com/fwlink/?linkid=870924
Opmerking:
    Op basis van de papierrijke stroom die binnenkomt bij de kringloopwinkel schatten we in dat 95% recyclebaar is en 5% verbrand wordt</t>
      </text>
    </comment>
    <comment ref="DC22" authorId="6" shapeId="0" xr:uid="{3B43CB7A-6C30-4EF3-B750-3E3E0B882BF3}">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Niet alles in de categorie kunststof niet verpakking in het restafval is kleingoed en curiosa, daarom is het percentage /2 gedaan. </t>
      </text>
    </comment>
    <comment ref="DF22" authorId="7" shapeId="0" xr:uid="{0DB63045-50FA-42E0-8FA8-367C43C5E712}">
      <text>
        <t>[Opmerkingenthread]
U kunt deze opmerkingenthread lezen in uw versie van Excel. Eventuele wijzigingen aan de thread gaan echter verloren als het bestand wordt geopend in een nieuwere versie van Excel. Meer informatie: https://go.microsoft.com/fwlink/?linkid=870924
Opmerking:
    Guus: Van het restafval wordt 70-90% nagescheiden om er waardevolle materialen uit te halen voor recycling. De rest gaat naar verbranden.
Ecoras: Daarom de aanname 50/50</t>
      </text>
    </comment>
    <comment ref="I23" authorId="8" shapeId="0" xr:uid="{0A65A118-F309-435D-9BB5-74E8472FB7DC}">
      <text>
        <t>[Opmerkingenthread]
U kunt deze opmerkingenthread lezen in uw versie van Excel. Eventuele wijzigingen aan de thread gaan echter verloren als het bestand wordt geopend in een nieuwere versie van Excel. Meer informatie: https://go.microsoft.com/fwlink/?linkid=870924
Opmerking:
    Bron: Hergebruik door consumenten in Nederland 2022</t>
      </text>
    </comment>
    <comment ref="CP23" authorId="9" shapeId="0" xr:uid="{E68E9B20-CE72-444D-BE59-D1D1480B35B1}">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Totaal gewicht huishoudelijk afval in 2022. </t>
      </text>
    </comment>
    <comment ref="DR23" authorId="10" shapeId="0" xr:uid="{2AB28B61-1D49-47A1-9C40-98A43BFCCCD2}">
      <text>
        <t>[Opmerkingenthread]
U kunt deze opmerkingenthread lezen in uw versie van Excel. Eventuele wijzigingen aan de thread gaan echter verloren als het bestand wordt geopend in een nieuwere versie van Excel. Meer informatie: https://go.microsoft.com/fwlink/?linkid=870924
Opmerking:
    Aanname dat 5% van de metalen die naar de milieustraat gebracht worden uit fietsen bestaat</t>
      </text>
    </comment>
    <comment ref="DT23" authorId="11" shapeId="0" xr:uid="{55195477-D795-4CFB-810A-AEC2F8746E68}">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Guus: De deelstromen gaan vooral naar recycling </t>
      </text>
    </comment>
    <comment ref="I24" authorId="12" shapeId="0" xr:uid="{8C2CCF43-0D3D-4D02-8BB0-226FC9EE731F}">
      <text>
        <t>[Opmerkingenthread]
U kunt deze opmerkingenthread lezen in uw versie van Excel. Eventuele wijzigingen aan de thread gaan echter verloren als het bestand wordt geopend in een nieuwere versie van Excel. Meer informatie: https://go.microsoft.com/fwlink/?linkid=870924
Opmerking:
    Totaal uitgerekend op basis van kringloop gedeelte</t>
      </text>
    </comment>
    <comment ref="J24" authorId="13" shapeId="0" xr:uid="{16BB44CC-4297-48A6-9A35-25381B1ADE56}">
      <text>
        <t>[Opmerkingenthread]
U kunt deze opmerkingenthread lezen in uw versie van Excel. Eventuele wijzigingen aan de thread gaan echter verloren als het bestand wordt geopend in een nieuwere versie van Excel. Meer informatie: https://go.microsoft.com/fwlink/?linkid=870924
Opmerking:
    Bron: Monitor kringloop Nederland 2022. Grafiek: Ingezamelde goederen per categorie (kg)</t>
      </text>
    </comment>
    <comment ref="BH24" authorId="14" shapeId="0" xr:uid="{A82F5A8C-0674-424D-AF1D-8F5F3723159F}">
      <text>
        <t>[Opmerkingenthread]
U kunt deze opmerkingenthread lezen in uw versie van Excel. Eventuele wijzigingen aan de thread gaan echter verloren als het bestand wordt geopend in een nieuwere versie van Excel. Meer informatie: https://go.microsoft.com/fwlink/?linkid=870924
Opmerking:
    Bert van Estafette: Stenen/keramiek komen ook bij ons binnen.
Deze staat niet in de tabel hiernaast, maar wel in: gemeentelijke afvalstoffen; hoeveelheden cbs</t>
      </text>
    </comment>
    <comment ref="BK24" authorId="15" shapeId="0" xr:uid="{F6894916-25B7-4253-AC0F-30C57DDCEE21}">
      <text>
        <t>[Opmerkingenthread]
U kunt deze opmerkingenthread lezen in uw versie van Excel. Eventuele wijzigingen aan de thread gaan echter verloren als het bestand wordt geopend in een nieuwere versie van Excel. Meer informatie: https://go.microsoft.com/fwlink/?linkid=870924
Opmerking:
    Guus: De deelstromen gaan vooral naar recycling</t>
      </text>
    </comment>
    <comment ref="CA24" authorId="16" shapeId="0" xr:uid="{74057267-EF88-4E0A-B465-9ECA23BCC8A7}">
      <text>
        <t>[Opmerkingenthread]
U kunt deze opmerkingenthread lezen in uw versie van Excel. Eventuele wijzigingen aan de thread gaan echter verloren als het bestand wordt geopend in een nieuwere versie van Excel. Meer informatie: https://go.microsoft.com/fwlink/?linkid=870924
Opmerking:
    Totaal gewicht huishoudelijk afval in 2022. Zie cbs bron hieronder</t>
      </text>
    </comment>
    <comment ref="I25" authorId="17" shapeId="0" xr:uid="{6B93E321-6534-4E2A-A510-57899109CDFB}">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Totaal uitgerekend op basis van kringloop gedeelte
</t>
      </text>
    </comment>
    <comment ref="J25" authorId="18" shapeId="0" xr:uid="{745F146B-0271-4D6E-B0D8-D29E20CEDC30}">
      <text>
        <t>[Opmerkingenthread]
U kunt deze opmerkingenthread lezen in uw versie van Excel. Eventuele wijzigingen aan de thread gaan echter verloren als het bestand wordt geopend in een nieuwere versie van Excel. Meer informatie: https://go.microsoft.com/fwlink/?linkid=870924
Opmerking:
    Bron: Monitor kringloop Nederland 2022. Grafiek: Ingezamelde goederen per categorie (kg)</t>
      </text>
    </comment>
    <comment ref="BH25" authorId="19" shapeId="0" xr:uid="{4E0421E7-8505-4C1E-B772-2E0619CD95E2}">
      <text>
        <t>[Opmerkingenthread]
U kunt deze opmerkingenthread lezen in uw versie van Excel. Eventuele wijzigingen aan de thread gaan echter verloren als het bestand wordt geopend in een nieuwere versie van Excel. Meer informatie: https://go.microsoft.com/fwlink/?linkid=870924
Opmerking:
    Bert van Estafette: dakpannen komen ook bij ons binnen</t>
      </text>
    </comment>
    <comment ref="BK25" authorId="20" shapeId="0" xr:uid="{559280A5-FA10-4BC8-BAE1-57E2D8BF0C34}">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Guus: dakbedekking wordt vooral verbrand </t>
      </text>
    </comment>
    <comment ref="I26" authorId="21" shapeId="0" xr:uid="{70395E30-EAF1-434A-A42A-F44497CF4D20}">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Totaal uitgerekend op basis van kringloop gedeelte
</t>
      </text>
    </comment>
    <comment ref="J26" authorId="22" shapeId="0" xr:uid="{C9E8D5E2-66C3-421B-BB12-B1A06450DA20}">
      <text>
        <t>[Opmerkingenthread]
U kunt deze opmerkingenthread lezen in uw versie van Excel. Eventuele wijzigingen aan de thread gaan echter verloren als het bestand wordt geopend in een nieuwere versie van Excel. Meer informatie: https://go.microsoft.com/fwlink/?linkid=870924
Opmerking:
    Bron: Monitor kringloop Nederland 2022. Grafiek: Ingezamelde goederen per categorie (kg)</t>
      </text>
    </comment>
    <comment ref="BK26" authorId="23" shapeId="0" xr:uid="{638FCE7B-41C0-4E82-B88B-31B9DEB0D6A5}">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Guus: De deelstromen gaan vooral naar recycling </t>
      </text>
    </comment>
    <comment ref="DD26" authorId="24" shapeId="0" xr:uid="{4C17FF83-90E6-422A-A46C-E07FE67E09B0}">
      <text>
        <t>[Opmerkingenthread]
U kunt deze opmerkingenthread lezen in uw versie van Excel. Eventuele wijzigingen aan de thread gaan echter verloren als het bestand wordt geopend in een nieuwere versie van Excel. Meer informatie: https://go.microsoft.com/fwlink/?linkid=870924
Opmerking:
    Totaal gewicht huishoudelijk afval in 2022. Zie cbs bron hieronder</t>
      </text>
    </comment>
    <comment ref="I27" authorId="25" shapeId="0" xr:uid="{207A142C-57F7-45B2-AA26-B0970FC819FF}">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Totaal uitgerekend op basis van kringloop gedeelte
</t>
      </text>
    </comment>
    <comment ref="J27" authorId="26" shapeId="0" xr:uid="{8939167B-C924-45FC-BB30-A37578DB1F2A}">
      <text>
        <t>[Opmerkingenthread]
U kunt deze opmerkingenthread lezen in uw versie van Excel. Eventuele wijzigingen aan de thread gaan echter verloren als het bestand wordt geopend in een nieuwere versie van Excel. Meer informatie: https://go.microsoft.com/fwlink/?linkid=870924
Opmerking:
    Bron: Monitor kringloop Nederland 2022. Grafiek: Ingezamelde goederen per categorie (kg)</t>
      </text>
    </comment>
    <comment ref="BK27" authorId="27" shapeId="0" xr:uid="{07222D94-C72B-4E8D-B64E-35BD5845E672}">
      <text>
        <t>[Opmerkingenthread]
U kunt deze opmerkingenthread lezen in uw versie van Excel. Eventuele wijzigingen aan de thread gaan echter verloren als het bestand wordt geopend in een nieuwere versie van Excel. Meer informatie: https://go.microsoft.com/fwlink/?linkid=870924
Opmerking:
    Guus: A+B-hout gaat voor ongeveer 60% naar verbranden en de rest naar recycling</t>
      </text>
    </comment>
    <comment ref="BK28" authorId="28" shapeId="0" xr:uid="{8E09BEAF-3D70-4D0A-90C0-12F8ADAF1EB1}">
      <text>
        <t>[Opmerkingenthread]
U kunt deze opmerkingenthread lezen in uw versie van Excel. Eventuele wijzigingen aan de thread gaan echter verloren als het bestand wordt geopend in een nieuwere versie van Excel. Meer informatie: https://go.microsoft.com/fwlink/?linkid=870924
Opmerking:
    Guus: C-hout wordt vooral verbrand/gestort</t>
      </text>
    </comment>
    <comment ref="BK29" authorId="29" shapeId="0" xr:uid="{276DBC86-4289-47FD-AC0A-63A6154D86C7}">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Guus: De deelstromen gaan vooral naar recycling </t>
      </text>
    </comment>
    <comment ref="M30" authorId="1" shapeId="0" xr:uid="{40930C6F-B0C3-4FB0-92FA-5054B4D04DC6}">
      <text>
        <r>
          <rPr>
            <b/>
            <sz val="9"/>
            <color indexed="81"/>
            <rFont val="Tahoma"/>
            <family val="2"/>
          </rPr>
          <t>Kupfērnagel, Juliane (RWS WVL):</t>
        </r>
        <r>
          <rPr>
            <sz val="9"/>
            <color indexed="81"/>
            <rFont val="Tahoma"/>
            <family val="2"/>
          </rPr>
          <t xml:space="preserve">
excl. Zonnepanelen en warmte- of koudeuitwisselnde apparatuur
</t>
        </r>
      </text>
    </comment>
    <comment ref="BI31" authorId="30" shapeId="0" xr:uid="{D4FDFEB4-0358-41ED-9D37-FCF94EC3470C}">
      <text>
        <t>[Opmerkingenthread]
U kunt deze opmerkingenthread lezen in uw versie van Excel. Eventuele wijzigingen aan de thread gaan echter verloren als het bestand wordt geopend in een nieuwere versie van Excel. Meer informatie: https://go.microsoft.com/fwlink/?linkid=870924
Opmerking:
    10% is eraf gehaald, om dat deze in de categorie fietsen is neergezet</t>
      </text>
    </comment>
    <comment ref="BK31" authorId="31" shapeId="0" xr:uid="{D1BC71AF-ED39-4660-9C09-8FAE7F4E1DD0}">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Guus: De deelstromen gaan vooral naar recycling </t>
      </text>
    </comment>
    <comment ref="BZ35" authorId="32" shapeId="0" xr:uid="{C0043627-6C15-434B-983D-0F0E30AB6E37}">
      <text>
        <t>[Opmerkingenthread]
U kunt deze opmerkingenthread lezen in uw versie van Excel. Eventuele wijzigingen aan de thread gaan echter verloren als het bestand wordt geopend in een nieuwere versie van Excel. Meer informatie: https://go.microsoft.com/fwlink/?linkid=870924
Opmerking:
    Alleen deze stroom binnen al het papier, omdat het bij de kringloop voornamelijk om boeken gaat</t>
      </text>
    </comment>
    <comment ref="CA35" authorId="33" shapeId="0" xr:uid="{9C81A907-3510-4592-8B55-DA1736FE365A}">
      <text>
        <t>[Opmerkingenthread]
U kunt deze opmerkingenthread lezen in uw versie van Excel. Eventuele wijzigingen aan de thread gaan echter verloren als het bestand wordt geopend in een nieuwere versie van Excel. Meer informatie: https://go.microsoft.com/fwlink/?linkid=870924
Opmerking:
    Gezien het grootste gedeelte in deze categorie verpakkingen, kranten etc zullen zijn, wordt geschat dat 1% uit boeken bestaat.</t>
      </text>
    </comment>
    <comment ref="CD35" authorId="34" shapeId="0" xr:uid="{FC9D8822-A2DF-43A6-A39B-9347BDF3952B}">
      <text>
        <t>[Opmerkingenthread]
U kunt deze opmerkingenthread lezen in uw versie van Excel. Eventuele wijzigingen aan de thread gaan echter verloren als het bestand wordt geopend in een nieuwere versie van Excel. Meer informatie: https://go.microsoft.com/fwlink/?linkid=870924
Opmerking:
    Op basis van de papierrijke stroom die binnenkomt bij de kringloopwinkel schatten we in dat 95% recyclebaar is en 5% verbrand wordt</t>
      </text>
    </comment>
    <comment ref="AE36" authorId="35" shapeId="0" xr:uid="{5EECCA93-ECCD-4F41-9D23-CE2F884304B8}">
      <text>
        <t>[Opmerkingenthread]
U kunt deze opmerkingenthread lezen in uw versie van Excel. Eventuele wijzigingen aan de thread gaan echter verloren als het bestand wordt geopend in een nieuwere versie van Excel. Meer informatie: https://go.microsoft.com/fwlink/?linkid=870924
Opmerking:
    Deze komen uit de tabel hieronder</t>
      </text>
    </comment>
    <comment ref="AJ36" authorId="36" shapeId="0" xr:uid="{22FBBDF0-B90D-4DEA-8954-3EF0AF68AFE9}">
      <text>
        <t>[Opmerkingenthread]
U kunt deze opmerkingenthread lezen in uw versie van Excel. Eventuele wijzigingen aan de thread gaan echter verloren als het bestand wordt geopend in een nieuwere versie van Excel. Meer informatie: https://go.microsoft.com/fwlink/?linkid=870924
Opmerking:
    Waarom niet keer 15000?</t>
      </text>
    </comment>
    <comment ref="CA37" authorId="37" shapeId="0" xr:uid="{C3B9D46C-90E5-4838-99C2-0E9003E7C309}">
      <text>
        <t>[Opmerkingenthread]
U kunt deze opmerkingenthread lezen in uw versie van Excel. Eventuele wijzigingen aan de thread gaan echter verloren als het bestand wordt geopend in een nieuwere versie van Excel. Meer informatie: https://go.microsoft.com/fwlink/?linkid=870924
Opmerking:
    Totaal gewicht huishoudelijk afval in 2022. Zie cbs bron hieronder</t>
      </text>
    </comment>
    <comment ref="R43" authorId="38" shapeId="0" xr:uid="{CCD007C8-E150-44EA-BD94-0B85914626D3}">
      <text>
        <t>[Opmerkingenthread]
U kunt deze opmerkingenthread lezen in uw versie van Excel. Eventuele wijzigingen aan de thread gaan echter verloren als het bestand wordt geopend in een nieuwere versie van Excel. Meer informatie: https://go.microsoft.com/fwlink/?linkid=870924
Opmerking:
    Beide hoeveelheden richting de AVI opgeteld. Verbranding uit WEEE rapportage + uit restafval (samenstelling huishoudelijk afval RWS)</t>
      </text>
    </comment>
    <comment ref="AG43" authorId="39" shapeId="0" xr:uid="{7DE3D9F2-1A42-4F78-B717-F42DB7E5F14F}">
      <text>
        <t>[Opmerkingenthread]
U kunt deze opmerkingenthread lezen in uw versie van Excel. Eventuele wijzigingen aan de thread gaan echter verloren als het bestand wordt geopend in een nieuwere versie van Excel. Meer informatie: https://go.microsoft.com/fwlink/?linkid=870924
Opmerking:
    Gescheiden inzameling (monitor beleidsprogramma circulair textiel)+ uit restafval (samenstelling huishoudelijk afval RWS)</t>
      </text>
    </comment>
    <comment ref="AD59" authorId="40" shapeId="0" xr:uid="{2D18DD44-47AD-40AA-9D71-C883B4406183}">
      <text>
        <t>[Opmerkingenthread]
U kunt deze opmerkingenthread lezen in uw versie van Excel. Eventuele wijzigingen aan de thread gaan echter verloren als het bestand wordt geopend in een nieuwere versie van Excel. Meer informatie: https://go.microsoft.com/fwlink/?linkid=870924
Opmerking:
    2021 ipv 2022 omdat de bron hierboven ook uit 2021 is.</t>
      </text>
    </comment>
    <comment ref="AD76" authorId="41" shapeId="0" xr:uid="{DD12A0EC-23E4-437B-9CB6-4BB8448825FD}">
      <text>
        <t>[Opmerkingenthread]
U kunt deze opmerkingenthread lezen in uw versie van Excel. Eventuele wijzigingen aan de thread gaan echter verloren als het bestand wordt geopend in een nieuwere versie van Excel. Meer informatie: https://go.microsoft.com/fwlink/?linkid=870924
Opmerking:
    2021 ipv 2022 omdat de bron hierboven ook uit 2021 is.</t>
      </text>
    </comment>
    <comment ref="AE78" authorId="42" shapeId="0" xr:uid="{FB1618BB-A0B5-4288-ABE2-6818C82294FA}">
      <text>
        <t>[Opmerkingenthread]
U kunt deze opmerkingenthread lezen in uw versie van Excel. Eventuele wijzigingen aan de thread gaan echter verloren als het bestand wordt geopend in een nieuwere versie van Excel. Meer informatie: https://go.microsoft.com/fwlink/?linkid=870924
Opmerking:
    Dit wordt dan opgeteld bij het gedeelte dat verbrand wordt vanaf de inzameling</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tc={F89FF772-520A-488F-8D40-1AC9717A1C75}</author>
    <author>tc={8BCC2B5C-A302-494F-8446-3CEA0BEE30FA}</author>
    <author>tc={CEB4DC65-1CA9-4195-8317-A0AFC885EE7B}</author>
  </authors>
  <commentList>
    <comment ref="D18" authorId="0" shapeId="0" xr:uid="{F89FF772-520A-488F-8D40-1AC9717A1C75}">
      <text>
        <t>[Opmerkingenthread]
U kunt deze opmerkingenthread lezen in uw versie van Excel. Eventuele wijzigingen aan de thread gaan echter verloren als het bestand wordt geopend in een nieuwere versie van Excel. Meer informatie: https://go.microsoft.com/fwlink/?linkid=870924
Opmerking:
    Aaname in samenspraak met Juliane RWS en Liza BKN is dat wanneer de kringloop wegvalt er 15% meer naar hergebruik online, particulier en andere zal gaan.</t>
      </text>
    </comment>
    <comment ref="E18" authorId="1" shapeId="0" xr:uid="{8BCC2B5C-A302-494F-8446-3CEA0BEE30FA}">
      <text>
        <t>[Opmerkingenthread]
U kunt deze opmerkingenthread lezen in uw versie van Excel. Eventuele wijzigingen aan de thread gaan echter verloren als het bestand wordt geopend in een nieuwere versie van Excel. Meer informatie: https://go.microsoft.com/fwlink/?linkid=870924
Opmerking:
    Gezien er 15% naar internetverkoop en giften gaat, blijft er 85% over om te verdelen over recycling, afvalverbranding en storten. Dat is verdeeld volgens dezelfde percentages uit scenario 1a grotendeels op basis van de bronnen: Samenstelling van het huishoudelijk restafval - 2022, RWS en Statline - gemeentelijke afvalstoffen, CBS</t>
      </text>
    </comment>
    <comment ref="B27" authorId="2" shapeId="0" xr:uid="{CEB4DC65-1CA9-4195-8317-A0AFC885EE7B}">
      <text>
        <t>[Opmerkingenthread]
U kunt deze opmerkingenthread lezen in uw versie van Excel. Eventuele wijzigingen aan de thread gaan echter verloren als het bestand wordt geopend in een nieuwere versie van Excel. Meer informatie: https://go.microsoft.com/fwlink/?linkid=870924
Opmerking:
    Voor de categorie overig is geen betrouwbare data beschikbaar, hierom is het gemiddelde van de andere categorieën genomen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<sst xmlns="http://schemas.openxmlformats.org/spreadsheetml/2006/main" count="751" uniqueCount="343">
  <si>
    <t>Categorie</t>
  </si>
  <si>
    <t>Gewicht %</t>
  </si>
  <si>
    <t xml:space="preserve">Overig </t>
  </si>
  <si>
    <t>Totaal</t>
  </si>
  <si>
    <t>Eenheid</t>
  </si>
  <si>
    <t>ton goederen</t>
  </si>
  <si>
    <t>Afval-verbranding</t>
  </si>
  <si>
    <t>Textiel</t>
  </si>
  <si>
    <t>Speelgoed</t>
  </si>
  <si>
    <t>Meubilair</t>
  </si>
  <si>
    <t>Fietsen</t>
  </si>
  <si>
    <t>Overig</t>
  </si>
  <si>
    <t xml:space="preserve">Uitvoer </t>
  </si>
  <si>
    <t>Totaal check</t>
  </si>
  <si>
    <t>keer</t>
  </si>
  <si>
    <t>kg</t>
  </si>
  <si>
    <t>Recycling</t>
  </si>
  <si>
    <t>Aluminium</t>
  </si>
  <si>
    <t>Hout</t>
  </si>
  <si>
    <t>Glas</t>
  </si>
  <si>
    <t>Keramiek</t>
  </si>
  <si>
    <t>Katoen</t>
  </si>
  <si>
    <t>Rubber</t>
  </si>
  <si>
    <t>Kunststof</t>
  </si>
  <si>
    <t>Plastic</t>
  </si>
  <si>
    <t>Ijzer/staal</t>
  </si>
  <si>
    <t>Polyester</t>
  </si>
  <si>
    <t>Polyamide</t>
  </si>
  <si>
    <t>Cellulose</t>
  </si>
  <si>
    <t>Wol/dons/leer</t>
  </si>
  <si>
    <t>Staal/ijzer</t>
  </si>
  <si>
    <t>Impacts kg CO2eq</t>
  </si>
  <si>
    <t>Dataset</t>
  </si>
  <si>
    <t>Cast iron {GLO}| market for cast iron | Cut-off, S</t>
  </si>
  <si>
    <t>1 kg</t>
  </si>
  <si>
    <t>Beschrijving:</t>
  </si>
  <si>
    <t>Transport, passenger car {RER}| market for transport, passenger car | Cut-off, S</t>
  </si>
  <si>
    <t>1 km</t>
  </si>
  <si>
    <t xml:space="preserve">This is delivering the service of average transportation of one passenger across one kilometre (km). </t>
  </si>
  <si>
    <t>Transport, freight, lorry, unspecified {RER}| market for transport, freight, lorry, unspecified | Cut-off, S</t>
  </si>
  <si>
    <t>1 tkm</t>
  </si>
  <si>
    <t>This is delivering the service of transportation of 1 metric ton across the distance of 1 km. This service provides combines data for transport which is calculated for an average load factor, including empty return trips.</t>
  </si>
  <si>
    <t>Steel, chromium steel 18/8 {GLO}| market for steel, chromium steel 18/8 | Cut-off, S</t>
  </si>
  <si>
    <t>Hot rolling, steel {GLO}| market for hot rolling, steel | Cut-off, S</t>
  </si>
  <si>
    <t>Deep drawing, steel, 3500 kN press, automode {GLO}| market for deep drawing, steel, 3500 kN press, automode | Cut-off, S</t>
  </si>
  <si>
    <t>Aluminium, cast alloy {GLO}| market for aluminium, cast alloy | Cut-off, S</t>
  </si>
  <si>
    <t>Aluminium, wrought alloy {GLO}| market for aluminium, wrought alloy | Cut-off, S</t>
  </si>
  <si>
    <t>Impact extrusion of aluminium, 4 strokes {GLO}| market for impact extrusion of aluminium, 4 strokes | Cut-off, S</t>
  </si>
  <si>
    <t>Polypropylene, granulate {GLO}| market for polypropylene, granulate | Cut-off, S</t>
  </si>
  <si>
    <t>Acrylonitrile-butadiene-styrene copolymer {GLO}| market for acrylonitrile-butadiene-styrene copolymer | Cut-off, S</t>
  </si>
  <si>
    <t>Extrusion, plastic pipes {GLO}| market for extrusion, plastic pipes | Cut-off, S</t>
  </si>
  <si>
    <t>Injection moulding {GLO}| market for injection moulding | Cut-off, S</t>
  </si>
  <si>
    <t>Synthetic rubber {GLO}| market for synthetic rubber | Cut-off, S</t>
  </si>
  <si>
    <t>Stretch blow moulding {GLO}| market for stretch blow moulding | Cut-off, S</t>
  </si>
  <si>
    <t>Sawnwood, lath, hardwood, dried (u=10%), planed {Europe without Switzerland}| market for sawnwood, lath, hardwood, dried (u=10%), planed | Cut-off, S</t>
  </si>
  <si>
    <t>Sawnwood, softwood, dried (u=10%), planed {Europe without Switzerland}| sawnwood production, softwood, dried (u=10%), planed | Cut-off, S</t>
  </si>
  <si>
    <t>Packaging glass, white {GLO}| market for packaging glass, white | Cut-off, S</t>
  </si>
  <si>
    <t>Fibre, viscose {GLO}| market for fibre, viscose | Cut-off, S</t>
  </si>
  <si>
    <t>Weaving, synthetic fibre {GLO}| market for weaving, synthetic fibre | Cut-off, S</t>
  </si>
  <si>
    <t>Printed wiring board, mounted mainboard, desktop computer, Pb free {GLO}| market for printed wiring board, mounted mainboard, desktop computer, Pb free | Cut-off, S</t>
  </si>
  <si>
    <t>Printed wiring board, through-hole mounted, unspecified, Pb free {GLO}| market for printed wiring board, through-hole mounted, unspecified, Pb free | Cut-off, S</t>
  </si>
  <si>
    <t>Printed paper, offset {GLO}| market for printed paper, offset | Cut-off, S</t>
  </si>
  <si>
    <t>Printed paper {GLO}| market for printed paper | Cut-off, S</t>
  </si>
  <si>
    <t>Elektrische en elektronische apparatuur</t>
  </si>
  <si>
    <t>Hergebruik</t>
  </si>
  <si>
    <t>Overig textiel</t>
  </si>
  <si>
    <t>Elektronische componenten</t>
  </si>
  <si>
    <t>Sanitary ceramics {GLO}| market for sanitary ceramics | Cut-off, S</t>
  </si>
  <si>
    <t>0,0015625 m3</t>
  </si>
  <si>
    <t>0,0022727 m3</t>
  </si>
  <si>
    <t>Boeken en platen</t>
  </si>
  <si>
    <t>Kleingoed en curiosa</t>
  </si>
  <si>
    <t>Papier/ karton</t>
  </si>
  <si>
    <t>Verbranding</t>
  </si>
  <si>
    <t>MDF</t>
  </si>
  <si>
    <t>recycling</t>
  </si>
  <si>
    <t>hergebruik kringloop non-profit</t>
  </si>
  <si>
    <t>hergebruik online, particulier en andere</t>
  </si>
  <si>
    <t>Elektrische en elektronische apparaten</t>
  </si>
  <si>
    <t>Meubels</t>
  </si>
  <si>
    <t>Grootzitmeubilair - Productstromen en materialen in kaart gebracht - Rijkswaterstaat Publicatie Platform</t>
  </si>
  <si>
    <t>StatLine - Gemeentelijke afvalstoffen; hoeveelheden (cbs.nl)</t>
  </si>
  <si>
    <t>https://open.overheid.nl/documenten/ronl-fd0452b024ed438ed75d7373303de208af020422/pdf</t>
  </si>
  <si>
    <t>Storten</t>
  </si>
  <si>
    <t>ton</t>
  </si>
  <si>
    <t>Vloerbedekking</t>
  </si>
  <si>
    <t>Dakbedekking</t>
  </si>
  <si>
    <t>Metalen</t>
  </si>
  <si>
    <t>Vlakglas</t>
  </si>
  <si>
    <t>Hout (A+B)</t>
  </si>
  <si>
    <t>Hout C</t>
  </si>
  <si>
    <t>Harde plastics</t>
  </si>
  <si>
    <t>Totaal:</t>
  </si>
  <si>
    <t>Gemiddelde:</t>
  </si>
  <si>
    <t>ton totaal</t>
  </si>
  <si>
    <t>NWR 20220627 Rapportage 2022</t>
  </si>
  <si>
    <t>https://nationaalweeeregister.nl/app/uploads/2023/06/NWR-20230629-Rapportage-2022.pdf</t>
  </si>
  <si>
    <t>elektrische apparaten</t>
  </si>
  <si>
    <t>ingezameld in ton</t>
  </si>
  <si>
    <t>consumenten textiel</t>
  </si>
  <si>
    <t>totaal</t>
  </si>
  <si>
    <t>percentage</t>
  </si>
  <si>
    <t>Hergebruik NL</t>
  </si>
  <si>
    <t>Hergebruik BL</t>
  </si>
  <si>
    <t>recycling totaal</t>
  </si>
  <si>
    <t>AVI</t>
  </si>
  <si>
    <t>recycling percentage totaal</t>
  </si>
  <si>
    <t>gescheiden in gezameld via gemeente</t>
  </si>
  <si>
    <t>gescheiden ingezameld via alternatief</t>
  </si>
  <si>
    <t>cat</t>
  </si>
  <si>
    <t>ingezameld</t>
  </si>
  <si>
    <t>ton gerecycled</t>
  </si>
  <si>
    <t>ton AVI</t>
  </si>
  <si>
    <t>stort</t>
  </si>
  <si>
    <t>stort ton</t>
  </si>
  <si>
    <t>kringloop 24kton</t>
  </si>
  <si>
    <t>recycling ton</t>
  </si>
  <si>
    <t>verbranding ton</t>
  </si>
  <si>
    <t>ton kringloop gedeelte</t>
  </si>
  <si>
    <t>met restafval</t>
  </si>
  <si>
    <t>sorteeranalyse huishoudelijk restafval fijn</t>
  </si>
  <si>
    <t>https://www.afvalcirculair.nl/publish/library/316/samenstelling-van-het-huishoudelijk-restafval-2022.pdf</t>
  </si>
  <si>
    <t>Hoeveelheid in ton</t>
  </si>
  <si>
    <t>Papier niet verpakking, recyclebaar</t>
  </si>
  <si>
    <t>Totaal gewicht</t>
  </si>
  <si>
    <t>Kunststof niet verpakking, niet verpakking</t>
  </si>
  <si>
    <t>Glas, niet verpakking</t>
  </si>
  <si>
    <t>Percentages gecombineerd:</t>
  </si>
  <si>
    <t>huishoudelijk afval in 2022</t>
  </si>
  <si>
    <t>2022 in ton</t>
  </si>
  <si>
    <t>AEEA in restafval</t>
  </si>
  <si>
    <t>2021 in ton</t>
  </si>
  <si>
    <t>ton naar de AVI</t>
  </si>
  <si>
    <t>textiel in restafval</t>
  </si>
  <si>
    <t>Beton</t>
  </si>
  <si>
    <t>Electrical_product_material_composition_overview.pdf (government.bg)</t>
  </si>
  <si>
    <t xml:space="preserve">Gemiddelde </t>
  </si>
  <si>
    <t>Ijzer</t>
  </si>
  <si>
    <t>market for electronic component, active, unspecified</t>
  </si>
  <si>
    <t>Hergebruik %</t>
  </si>
  <si>
    <t>Recycling %</t>
  </si>
  <si>
    <t>Verbranding %</t>
  </si>
  <si>
    <t>market for electric connector, peripheral component interconnect buss</t>
  </si>
  <si>
    <t>market for electronic component, passive, unspecified</t>
  </si>
  <si>
    <t xml:space="preserve">1 kg </t>
  </si>
  <si>
    <t>market for corrugated board box</t>
  </si>
  <si>
    <t>market for solid bleached and unbleached board carton</t>
  </si>
  <si>
    <t>Papier / karton</t>
  </si>
  <si>
    <t>Electronische componenten</t>
  </si>
  <si>
    <t>Stort electronica</t>
  </si>
  <si>
    <t>Stort bouwmaterialen</t>
  </si>
  <si>
    <t>Electr. Comp.</t>
  </si>
  <si>
    <t>Elastaan</t>
  </si>
  <si>
    <t>Poly-katoen</t>
  </si>
  <si>
    <t>Steel</t>
  </si>
  <si>
    <t>Plastics</t>
  </si>
  <si>
    <t>Paper and cardboard</t>
  </si>
  <si>
    <t>Percent variance: secondary vs. primary</t>
  </si>
  <si>
    <t>Percent variance: adjusted to ecoinvent 3.10 primary production datasets</t>
  </si>
  <si>
    <t>Net emissions vanwege recycling</t>
  </si>
  <si>
    <t>Norden (2015) Climate Benefits of Material Recycling
Inventory of Average Greenhouse Gas Emissions for Denmark, Norway and Sweden</t>
  </si>
  <si>
    <t>Bron</t>
  </si>
  <si>
    <t>Department of Environment, Climate Change and Water NSW (DECCW) (2010) Environmental benefits of recycling</t>
  </si>
  <si>
    <t>PET (polyester</t>
  </si>
  <si>
    <t>Steen</t>
  </si>
  <si>
    <t>Rubber (tyres)</t>
  </si>
  <si>
    <t>Impact CO2/kg recycling</t>
  </si>
  <si>
    <t>Impact CO2/kg verbranding</t>
  </si>
  <si>
    <t>Levensduur door hergebruik:</t>
  </si>
  <si>
    <t>Transport internetverkoop/giften</t>
  </si>
  <si>
    <t>market for wood cladding, softwood, RER</t>
  </si>
  <si>
    <t>door production, inner, wood, RER</t>
  </si>
  <si>
    <t>Totale hoeveelheid goederen ingevuld in de cockpit:</t>
  </si>
  <si>
    <t>Totaal gewogen impact (ton CO2/ton)</t>
  </si>
  <si>
    <t>market for furniture, wooden, GLO</t>
  </si>
  <si>
    <t>medium density fibreboard production, uncoated, RER</t>
  </si>
  <si>
    <t>market for medium density fibreboard, RER</t>
  </si>
  <si>
    <t>1kg</t>
  </si>
  <si>
    <t>market for concrete, 40MPa, RoW</t>
  </si>
  <si>
    <t>market for concrete slab, RoW</t>
  </si>
  <si>
    <t>market for concrete block, RoW</t>
  </si>
  <si>
    <t>market for concrete roof tile</t>
  </si>
  <si>
    <t>m3 to kg</t>
  </si>
  <si>
    <t xml:space="preserve">m3 to kg </t>
  </si>
  <si>
    <t>Impact CO2/kg product</t>
  </si>
  <si>
    <t xml:space="preserve">Transport </t>
  </si>
  <si>
    <t>CE Delft, 2023. Ketenemissies elektriciteit, actualisatie elektriciteitsmix 2021</t>
  </si>
  <si>
    <t xml:space="preserve">Milieucentraal 2024, Methodiek CO2 emissiefactoren elektriciteit </t>
  </si>
  <si>
    <t>Bronnen toegepast op co2emissiefactoren.nl</t>
  </si>
  <si>
    <t>kg CO2-eq/Nm3</t>
  </si>
  <si>
    <t>Elektriciteit</t>
  </si>
  <si>
    <t>RVO, 2023: Nederlandse lijst Energiedragers en standaard CO2 emissiefactoren</t>
  </si>
  <si>
    <t>Stimular, CE Delft, 2020. CO2emissies groen gas, samenvattend document.</t>
  </si>
  <si>
    <t>Gas</t>
  </si>
  <si>
    <t>Elektriciteit per m2</t>
  </si>
  <si>
    <t>Gas per m2</t>
  </si>
  <si>
    <t>CBS 2019, Energiekentallen utiliteitsbouw dienstensector; oppervlakteklasse</t>
  </si>
  <si>
    <t>Input</t>
  </si>
  <si>
    <t>Tussenberekeningen</t>
  </si>
  <si>
    <t>Data uit "samenstelling"</t>
  </si>
  <si>
    <t>Resultaat</t>
  </si>
  <si>
    <t>Impact hergebruik</t>
  </si>
  <si>
    <t>Impact recycling</t>
  </si>
  <si>
    <t>Impact verbranding</t>
  </si>
  <si>
    <t xml:space="preserve">Impact transport </t>
  </si>
  <si>
    <t>Impact CO2/kg transport kringloop</t>
  </si>
  <si>
    <t>Impact CO2/kg transport internetverkoop</t>
  </si>
  <si>
    <t>Productcategorie</t>
  </si>
  <si>
    <t>Materiaalstromen</t>
  </si>
  <si>
    <t>Invulveld</t>
  </si>
  <si>
    <t>kWh/jaar</t>
  </si>
  <si>
    <t>m3/jaar</t>
  </si>
  <si>
    <t>Met kringlooporganisatie</t>
  </si>
  <si>
    <t>Zonder kringlooporganisatie</t>
  </si>
  <si>
    <t>Transport kringlooporganisatie</t>
  </si>
  <si>
    <t>Verdeling over kringlooporganisatie, internetverkoop en giften, recycling en verbranding</t>
  </si>
  <si>
    <t>Monitor kringloop Nederland 2023 (vroegtijdig verkregen van Liza Hoefnagels)</t>
  </si>
  <si>
    <t>Hoeveel kg heeft de kringlooporganisatie ingezameld in een jaar tijd?</t>
  </si>
  <si>
    <t>Hoeveel % gaat naar recyling?</t>
  </si>
  <si>
    <t>Hoeveel % gaat naar verbranding?</t>
  </si>
  <si>
    <t>Hoeveel % wordt hergebruikt?</t>
  </si>
  <si>
    <t>Verdeling bij keten zonder kringlooporganisatie</t>
  </si>
  <si>
    <t>Ingevuld in cockpit</t>
  </si>
  <si>
    <t>Ingevuld in de cockpit</t>
  </si>
  <si>
    <t>Gas kringlooporganisatie</t>
  </si>
  <si>
    <t>Impact recycling (CO2/kg productgroep)</t>
  </si>
  <si>
    <t>Vermeden impact productie (CO2/kg productgroep)</t>
  </si>
  <si>
    <t>Impact verbranding (CO2/kg productgroep)</t>
  </si>
  <si>
    <t>Impact transport kringloop (CO2/kg productgroep)</t>
  </si>
  <si>
    <t>Totale impact per productgroep (CO2/kg productgroep)</t>
  </si>
  <si>
    <t>Totale impact per productgroep voor de hoeveelheid ton goederen (ton CO2)</t>
  </si>
  <si>
    <t>Impact transport internetverkoop (CO2/kg productgroep)</t>
  </si>
  <si>
    <t>(ton CO2)</t>
  </si>
  <si>
    <t>Totale impact per productgroep voor de hoeveelheid ton goederen</t>
  </si>
  <si>
    <t>Ingezameld via brengsysteem (milieustraat) en haalsysteem (containers langs de weg/ondergronds). Het afval wordt gesorteerd en verdeeld over recycling en verbranding.</t>
  </si>
  <si>
    <t>Sorteeranalyste huishoudelijk restafval fijn in 2022</t>
  </si>
  <si>
    <t>Totaal huishoudelijk restafval in 2022</t>
  </si>
  <si>
    <t>Totaal gewicht huishoudelijk restafval in 2022 (ton)</t>
  </si>
  <si>
    <t>Data gebruikt uit 2022</t>
  </si>
  <si>
    <r>
      <t xml:space="preserve">1. Voor de categorie boeken en platen wordt er gekeken naar de categorie </t>
    </r>
    <r>
      <rPr>
        <b/>
        <sz val="9"/>
        <color theme="1"/>
        <rFont val="Verdana"/>
        <family val="2"/>
      </rPr>
      <t>huishoudelijk restafval</t>
    </r>
    <r>
      <rPr>
        <sz val="9"/>
        <color theme="1"/>
        <rFont val="Verdana"/>
        <family val="2"/>
      </rPr>
      <t>:</t>
    </r>
  </si>
  <si>
    <r>
      <t xml:space="preserve">2. Voor de categorie boeken en platen wordt er ook gekeken naar de categorie </t>
    </r>
    <r>
      <rPr>
        <b/>
        <sz val="9"/>
        <color theme="1"/>
        <rFont val="Verdana"/>
        <family val="2"/>
      </rPr>
      <t>oud papier en karton</t>
    </r>
    <r>
      <rPr>
        <sz val="9"/>
        <color theme="1"/>
        <rFont val="Verdana"/>
        <family val="2"/>
      </rPr>
      <t>:</t>
    </r>
  </si>
  <si>
    <t>Totaal oud papier en karton in 2022</t>
  </si>
  <si>
    <t>Totaal van beide categorieen:</t>
  </si>
  <si>
    <t>Boeken</t>
  </si>
  <si>
    <t>Totaal gewicht huishoudelijk restafval</t>
  </si>
  <si>
    <t>Totaal gewicht oud papier en karton</t>
  </si>
  <si>
    <t>Afval</t>
  </si>
  <si>
    <t xml:space="preserve">Afval </t>
  </si>
  <si>
    <t>1. Voor de categorie elektrische en elektronische apparaten wordt er gekeken naar een rapportage van het nationaal WEEE register:</t>
  </si>
  <si>
    <r>
      <t>2</t>
    </r>
    <r>
      <rPr>
        <b/>
        <sz val="9"/>
        <color theme="1"/>
        <rFont val="Verdana"/>
        <family val="2"/>
      </rPr>
      <t>.</t>
    </r>
    <r>
      <rPr>
        <sz val="9"/>
        <color theme="1"/>
        <rFont val="Verdana"/>
        <family val="2"/>
      </rPr>
      <t xml:space="preserve"> Voor de categorie elektrische en elektronische apparaten wordt er ook gekeken naar de categorie </t>
    </r>
    <r>
      <rPr>
        <b/>
        <sz val="9"/>
        <color theme="1"/>
        <rFont val="Verdana"/>
        <family val="2"/>
      </rPr>
      <t>huishoudelijk restafval</t>
    </r>
    <r>
      <rPr>
        <sz val="9"/>
        <color theme="1"/>
        <rFont val="Verdana"/>
        <family val="2"/>
      </rPr>
      <t>:</t>
    </r>
  </si>
  <si>
    <t>1. Voor de categorie textiel wordt er gekeken naar het monitoring beleidsprogramma circulair textiel:</t>
  </si>
  <si>
    <t>Data uit 2021</t>
  </si>
  <si>
    <t>2. Voor de categorie textiel wordt er ook gekeken naar de categorie huishoudelijk restafval:</t>
  </si>
  <si>
    <t>Totaal huishoudelijk restafval in 2021</t>
  </si>
  <si>
    <t>Kopjes koffie</t>
  </si>
  <si>
    <t>kopjes</t>
  </si>
  <si>
    <t>Elektriciteit kringlooporganisatie</t>
  </si>
  <si>
    <t>Kg CO2-eq/kWh</t>
  </si>
  <si>
    <t>Hoeveelheid ingevuld in cockpit</t>
  </si>
  <si>
    <t>Impact per jaar</t>
  </si>
  <si>
    <t>ton CO2</t>
  </si>
  <si>
    <t>100% Check</t>
  </si>
  <si>
    <t>Electronische comp.</t>
  </si>
  <si>
    <t>Rinne et al. 2021. Simulation-based life cycle assessment for hydrometallurgical recycling of mixed LIB and NiMH waste</t>
  </si>
  <si>
    <t>Bianco et al. 2022 Life Cycle Assessment (LCA) of MWool® Recycled Wool Fibers</t>
  </si>
  <si>
    <t>Bianco et al. 2022 Life Cycle Assessment (LCA) of MWool® Recycled Wool Fibers, Figure 6 comparison of virgin wool and Mwool calculated with CFF</t>
  </si>
  <si>
    <t>Virgin wol - geen ecoinvent</t>
  </si>
  <si>
    <t>Roy et al. 2023. Life cycle environmental impact assessment of cotton recycling and the benefits of a Take-Back system</t>
  </si>
  <si>
    <t>Katoen doek, GLO gemiddelde. Roy et al. 2023</t>
  </si>
  <si>
    <t>GEEN ECOINVENT DATA toegepast hier -&gt; want niet meer up-to-date en de oude dataset was niet passend voor de productgroep</t>
  </si>
  <si>
    <t>GEEN ECOINVENT DATA toegepast hier -&gt; want dit materiaal staat niet in de database</t>
  </si>
  <si>
    <t>Om de aarde rijden</t>
  </si>
  <si>
    <t xml:space="preserve">keer </t>
  </si>
  <si>
    <r>
      <t xml:space="preserve">Impact </t>
    </r>
    <r>
      <rPr>
        <b/>
        <sz val="10"/>
        <rFont val="Verdana"/>
        <family val="2"/>
      </rPr>
      <t>productie</t>
    </r>
    <r>
      <rPr>
        <sz val="10"/>
        <rFont val="Verdana"/>
        <family val="2"/>
      </rPr>
      <t xml:space="preserve"> per kg</t>
    </r>
  </si>
  <si>
    <r>
      <t xml:space="preserve">Netto impact </t>
    </r>
    <r>
      <rPr>
        <b/>
        <sz val="10"/>
        <rFont val="Verdana"/>
        <family val="2"/>
      </rPr>
      <t>recycling</t>
    </r>
    <r>
      <rPr>
        <sz val="10"/>
        <rFont val="Verdana"/>
        <family val="2"/>
      </rPr>
      <t xml:space="preserve"> per kg</t>
    </r>
  </si>
  <si>
    <r>
      <t xml:space="preserve">Netto impact </t>
    </r>
    <r>
      <rPr>
        <b/>
        <sz val="10"/>
        <rFont val="Verdana"/>
        <family val="2"/>
      </rPr>
      <t>verbranding</t>
    </r>
    <r>
      <rPr>
        <sz val="10"/>
        <rFont val="Verdana"/>
        <family val="2"/>
      </rPr>
      <t xml:space="preserve"> per kg</t>
    </r>
  </si>
  <si>
    <r>
      <t xml:space="preserve">Scrap </t>
    </r>
    <r>
      <rPr>
        <b/>
        <sz val="10"/>
        <rFont val="Verdana"/>
        <family val="2"/>
      </rPr>
      <t>steel</t>
    </r>
    <r>
      <rPr>
        <sz val="10"/>
        <rFont val="Verdana"/>
        <family val="2"/>
      </rPr>
      <t xml:space="preserve"> {Europe without Switzerland}| treatment of scrap steel, municipal incineration | Cut-off, S</t>
    </r>
  </si>
  <si>
    <r>
      <t xml:space="preserve">Scrap </t>
    </r>
    <r>
      <rPr>
        <b/>
        <sz val="10"/>
        <rFont val="Verdana"/>
        <family val="2"/>
      </rPr>
      <t>aluminium</t>
    </r>
    <r>
      <rPr>
        <sz val="10"/>
        <rFont val="Verdana"/>
        <family val="2"/>
      </rPr>
      <t xml:space="preserve"> {Europe without Switzerland}| treatment of scrap aluminium, municipal incineration | Cut-off, S</t>
    </r>
  </si>
  <si>
    <r>
      <t xml:space="preserve">Waste </t>
    </r>
    <r>
      <rPr>
        <b/>
        <sz val="10"/>
        <rFont val="Verdana"/>
        <family val="2"/>
      </rPr>
      <t>plastic</t>
    </r>
    <r>
      <rPr>
        <sz val="10"/>
        <rFont val="Verdana"/>
        <family val="2"/>
      </rPr>
      <t>, mixture {CH}| treatment of waste plastic, mixture, municipal incineration FAE | Cut-off, S</t>
    </r>
  </si>
  <si>
    <r>
      <t xml:space="preserve">Waste </t>
    </r>
    <r>
      <rPr>
        <b/>
        <sz val="10"/>
        <rFont val="Verdana"/>
        <family val="2"/>
      </rPr>
      <t>rubber</t>
    </r>
    <r>
      <rPr>
        <sz val="10"/>
        <rFont val="Verdana"/>
        <family val="2"/>
      </rPr>
      <t>, unspecified {Europe without Switzerland}| treatment of waste rubber, unspecified, municipal incineration | Cut-off, S</t>
    </r>
  </si>
  <si>
    <r>
      <t xml:space="preserve">Waste </t>
    </r>
    <r>
      <rPr>
        <b/>
        <sz val="10"/>
        <rFont val="Verdana"/>
        <family val="2"/>
      </rPr>
      <t>wood</t>
    </r>
    <r>
      <rPr>
        <sz val="10"/>
        <rFont val="Verdana"/>
        <family val="2"/>
      </rPr>
      <t>, untreated {CH}| treatment of waste wood, untreated, municipal incineration FAE | Cut-off, S</t>
    </r>
  </si>
  <si>
    <r>
      <t xml:space="preserve">Waste </t>
    </r>
    <r>
      <rPr>
        <b/>
        <sz val="10"/>
        <rFont val="Verdana"/>
        <family val="2"/>
      </rPr>
      <t>glass</t>
    </r>
    <r>
      <rPr>
        <sz val="10"/>
        <rFont val="Verdana"/>
        <family val="2"/>
      </rPr>
      <t xml:space="preserve"> {CH}| treatment of waste glass, municipal incineration FAE | Cut-off, S</t>
    </r>
  </si>
  <si>
    <r>
      <t xml:space="preserve">Waste </t>
    </r>
    <r>
      <rPr>
        <b/>
        <sz val="10"/>
        <rFont val="Verdana"/>
        <family val="2"/>
      </rPr>
      <t>textile</t>
    </r>
    <r>
      <rPr>
        <sz val="10"/>
        <rFont val="Verdana"/>
        <family val="2"/>
      </rPr>
      <t>, soiled {CH}| treatment of waste textile, soiled, municipal incineration FAE | Cut-off, S</t>
    </r>
  </si>
  <si>
    <r>
      <t xml:space="preserve">Waste </t>
    </r>
    <r>
      <rPr>
        <b/>
        <sz val="10"/>
        <rFont val="Verdana"/>
        <family val="2"/>
      </rPr>
      <t>plastic</t>
    </r>
    <r>
      <rPr>
        <sz val="10"/>
        <rFont val="Verdana"/>
        <family val="2"/>
      </rPr>
      <t>, consumer electronics {CH}| treatment of waste plastic, consumer electronics, municipal incineration FAE | Cut-off, S</t>
    </r>
  </si>
  <si>
    <r>
      <t xml:space="preserve">Waste </t>
    </r>
    <r>
      <rPr>
        <b/>
        <sz val="10"/>
        <rFont val="Verdana"/>
        <family val="2"/>
      </rPr>
      <t>paperboard</t>
    </r>
    <r>
      <rPr>
        <sz val="10"/>
        <rFont val="Verdana"/>
        <family val="2"/>
      </rPr>
      <t xml:space="preserve"> {CH}| treatment of waste paperboard, municipal incineration FAE | Cut-off, S</t>
    </r>
  </si>
  <si>
    <r>
      <t xml:space="preserve">Scrap </t>
    </r>
    <r>
      <rPr>
        <b/>
        <sz val="10"/>
        <rFont val="Verdana"/>
        <family val="2"/>
      </rPr>
      <t>copper</t>
    </r>
    <r>
      <rPr>
        <sz val="10"/>
        <rFont val="Verdana"/>
        <family val="2"/>
      </rPr>
      <t xml:space="preserve"> {Europe without Switzerland}| treatment of scrap copper, municipal incineration | Cut-off, S</t>
    </r>
  </si>
  <si>
    <t>Car, Coffee https://translator.ecochain.com/#</t>
  </si>
  <si>
    <r>
      <t>Backup uit monitor</t>
    </r>
    <r>
      <rPr>
        <vertAlign val="superscript"/>
        <sz val="10"/>
        <rFont val="Verdana"/>
        <family val="2"/>
      </rPr>
      <t>2</t>
    </r>
  </si>
  <si>
    <r>
      <t>Emissiefactoren</t>
    </r>
    <r>
      <rPr>
        <b/>
        <vertAlign val="superscript"/>
        <sz val="10"/>
        <rFont val="Verdana"/>
        <family val="2"/>
      </rPr>
      <t>4</t>
    </r>
  </si>
  <si>
    <r>
      <t>Afstand in km</t>
    </r>
    <r>
      <rPr>
        <vertAlign val="superscript"/>
        <sz val="10"/>
        <rFont val="Verdana"/>
        <family val="2"/>
      </rPr>
      <t>3</t>
    </r>
  </si>
  <si>
    <t>Model Guus van den Berghe, RWS, voor MER, eerste LAP</t>
  </si>
  <si>
    <r>
      <t>Textiel</t>
    </r>
    <r>
      <rPr>
        <vertAlign val="superscript"/>
        <sz val="10"/>
        <rFont val="Verdana"/>
        <family val="2"/>
      </rPr>
      <t>5</t>
    </r>
  </si>
  <si>
    <t>Monitoring beleidsprogramma circulair textiel</t>
  </si>
  <si>
    <r>
      <t>Meubilair</t>
    </r>
    <r>
      <rPr>
        <vertAlign val="superscript"/>
        <sz val="10"/>
        <rFont val="Verdana"/>
        <family val="2"/>
      </rPr>
      <t>6</t>
    </r>
  </si>
  <si>
    <t>CBS data van Juliane Kupfernagel</t>
  </si>
  <si>
    <r>
      <t>Elektrische en elektronische apparatuur</t>
    </r>
    <r>
      <rPr>
        <vertAlign val="superscript"/>
        <sz val="10"/>
        <rFont val="Verdana"/>
        <family val="2"/>
      </rPr>
      <t>7</t>
    </r>
  </si>
  <si>
    <t>Gemiddelde WEEE waste samenstelling, WRAP (2012)</t>
  </si>
  <si>
    <r>
      <t>Materiaalstromen</t>
    </r>
    <r>
      <rPr>
        <vertAlign val="superscript"/>
        <sz val="10"/>
        <rFont val="Verdana"/>
        <family val="2"/>
      </rPr>
      <t>8</t>
    </r>
  </si>
  <si>
    <r>
      <t>Fietsen</t>
    </r>
    <r>
      <rPr>
        <vertAlign val="superscript"/>
        <sz val="10"/>
        <rFont val="Verdana"/>
        <family val="2"/>
      </rPr>
      <t>8,9</t>
    </r>
  </si>
  <si>
    <r>
      <t>Boeken en platen</t>
    </r>
    <r>
      <rPr>
        <vertAlign val="superscript"/>
        <sz val="10"/>
        <rFont val="Verdana"/>
        <family val="2"/>
      </rPr>
      <t>8</t>
    </r>
  </si>
  <si>
    <r>
      <t>Speelgoed</t>
    </r>
    <r>
      <rPr>
        <vertAlign val="superscript"/>
        <sz val="10"/>
        <rFont val="Verdana"/>
        <family val="2"/>
      </rPr>
      <t>8</t>
    </r>
  </si>
  <si>
    <r>
      <t>Kleingoed en curiosa</t>
    </r>
    <r>
      <rPr>
        <vertAlign val="superscript"/>
        <sz val="10"/>
        <rFont val="Verdana"/>
        <family val="2"/>
      </rPr>
      <t>8</t>
    </r>
  </si>
  <si>
    <t>Totaal (som)</t>
  </si>
  <si>
    <t>Berekend in tabblad: "Percentages scenario zonder kw"</t>
  </si>
  <si>
    <r>
      <t xml:space="preserve">1. Voor de categorie materiaalstromen wordt er gekeken naar de categorie </t>
    </r>
    <r>
      <rPr>
        <b/>
        <sz val="9"/>
        <color theme="1"/>
        <rFont val="Verdana"/>
        <family val="2"/>
      </rPr>
      <t>vloerbedekking, dakbedekking, vlakglas, hout, harde plastics en metalen</t>
    </r>
    <r>
      <rPr>
        <sz val="9"/>
        <color theme="1"/>
        <rFont val="Verdana"/>
        <family val="2"/>
      </rPr>
      <t>:</t>
    </r>
  </si>
  <si>
    <r>
      <t xml:space="preserve">1. Voor de categorie speelgoed wordt er gekeken naar de </t>
    </r>
    <r>
      <rPr>
        <b/>
        <sz val="9"/>
        <color theme="1"/>
        <rFont val="Verdana"/>
        <family val="2"/>
      </rPr>
      <t>categorie huishoudelijk restafval</t>
    </r>
    <r>
      <rPr>
        <sz val="9"/>
        <color theme="1"/>
        <rFont val="Verdana"/>
        <family val="2"/>
      </rPr>
      <t>:</t>
    </r>
  </si>
  <si>
    <r>
      <t xml:space="preserve">1. Voor de categorie kleingoed en curiosa wordt er gekeken naar de </t>
    </r>
    <r>
      <rPr>
        <b/>
        <sz val="9"/>
        <color theme="1"/>
        <rFont val="Verdana"/>
        <family val="2"/>
      </rPr>
      <t>categorie huishoudelijk restafval</t>
    </r>
    <r>
      <rPr>
        <sz val="9"/>
        <color theme="1"/>
        <rFont val="Verdana"/>
        <family val="2"/>
      </rPr>
      <t>:</t>
    </r>
  </si>
  <si>
    <r>
      <t xml:space="preserve">1. Voor de categorie fietsen wordt er gekeken naar de </t>
    </r>
    <r>
      <rPr>
        <b/>
        <sz val="9"/>
        <color theme="1"/>
        <rFont val="Verdana"/>
        <family val="2"/>
      </rPr>
      <t>categorie metaal</t>
    </r>
    <r>
      <rPr>
        <sz val="9"/>
        <color theme="1"/>
        <rFont val="Verdana"/>
        <family val="2"/>
      </rPr>
      <t>:</t>
    </r>
  </si>
  <si>
    <t>Impact per categorie positief weergegeven voor taartdiagram</t>
  </si>
  <si>
    <t>obv bezoek Estafette Leeuwarden (juni, 2024)</t>
  </si>
  <si>
    <t>Mobiel opladen</t>
  </si>
  <si>
    <t>Charging phone, https://www.energysage.com/electricity/house-watts/how-many-watts-does-a-phone-charger-use/#:~:text=Generally%2C%20phone%20chargers%20use%20about,around%20the%205%20W%20range.</t>
  </si>
  <si>
    <t>Charging phone, https://help.batteryclerk.com/support/solutions/articles/63000254559-how-long-does-it-take-to-charge-a-cell-phone-battery-#:~:text=It%20depends%20on%20the%20battery,manual%2C%20or%20contact%20the%20manufacturer.</t>
  </si>
  <si>
    <t xml:space="preserve">Gasverbruik </t>
  </si>
  <si>
    <t>Elektriciteitsverbruik</t>
  </si>
  <si>
    <t>Totaal (ton CO2)</t>
  </si>
  <si>
    <t xml:space="preserve">Totaalgewicht in kg </t>
  </si>
  <si>
    <t>Invulveld (kg)</t>
  </si>
  <si>
    <r>
      <t xml:space="preserve">Invulveld (%) - </t>
    </r>
    <r>
      <rPr>
        <b/>
        <u/>
        <sz val="10"/>
        <color theme="9"/>
        <rFont val="Verdana"/>
        <family val="2"/>
      </rPr>
      <t>optioneel*</t>
    </r>
  </si>
  <si>
    <t>CO2emmissiefactoren.nl 2024</t>
  </si>
  <si>
    <t>Afvalstromen ingezameld door kringlooporganisaties in Nederland. Dit kan de kringloop ook zelf bijhouden en invullen in de cockpit. Mochten er geen gegevens beschikbaar zijn, dan kan de data uit de monitor gebruikt worden.</t>
  </si>
  <si>
    <t>Internetverkoop</t>
  </si>
  <si>
    <t>Impact kg CO2 per kg product internetverkoop</t>
  </si>
  <si>
    <t>Impact kg CO2 per kg product kringloop</t>
  </si>
  <si>
    <t>Ophalen (auto) %</t>
  </si>
  <si>
    <t>Brengen (auto) %</t>
  </si>
  <si>
    <r>
      <t>Kringloop</t>
    </r>
    <r>
      <rPr>
        <vertAlign val="superscript"/>
        <sz val="10"/>
        <rFont val="Verdana"/>
        <family val="2"/>
      </rPr>
      <t>2</t>
    </r>
  </si>
  <si>
    <t>Check</t>
  </si>
  <si>
    <r>
      <t>Input Transport Kringloop</t>
    </r>
    <r>
      <rPr>
        <b/>
        <vertAlign val="superscript"/>
        <sz val="10"/>
        <rFont val="Verdana"/>
        <family val="2"/>
      </rPr>
      <t>2</t>
    </r>
  </si>
  <si>
    <t>Inname bij kringlooporganisatie</t>
  </si>
  <si>
    <t>Ingezameld op de milieustraat</t>
  </si>
  <si>
    <t>Thuis opgehaald</t>
  </si>
  <si>
    <t>Vaste ophaalroutes</t>
  </si>
  <si>
    <t>Textielcontainers</t>
  </si>
  <si>
    <t>Auto</t>
  </si>
  <si>
    <t>Vrachtwagen</t>
  </si>
  <si>
    <t>Totaal auto</t>
  </si>
  <si>
    <t>Totaal vrachtwagen</t>
  </si>
  <si>
    <r>
      <t>Input</t>
    </r>
    <r>
      <rPr>
        <b/>
        <vertAlign val="superscript"/>
        <sz val="10"/>
        <rFont val="Verdana"/>
        <family val="2"/>
      </rPr>
      <t>2</t>
    </r>
  </si>
  <si>
    <t>Bezorgen (vrachtwagen) %</t>
  </si>
  <si>
    <t>Halen (vrachtwagen) %</t>
  </si>
  <si>
    <t>Transport kringloop</t>
  </si>
  <si>
    <r>
      <t>Gewicht % uit monitor</t>
    </r>
    <r>
      <rPr>
        <vertAlign val="superscript"/>
        <sz val="10"/>
        <rFont val="Verdana"/>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</si>
</sst>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0.0"/>
    <numFmt numFmtId="166" formatCode="_-* #,##0_-;\-* #,##0_-;_-* &quot;-&quot;??_-;_-@_-"/>
    <numFmt numFmtId="167" formatCode="d\-m\-yyyy"/>
    <numFmt numFmtId="168" formatCode="0.0%"/>
  </numFmts>
  <fonts count="76">
    <font>
      <sz val="10"/>
      <name val="Arial"/>
    </font>
    <font>
      <sz val="9"/>
      <color theme="1"/>
      <name val="Verdana"/>
      <family val="2"/>
    </font>
    <font>
      <sz val="10"/>
      <name val="Arial"/>
      <family val="2"/>
    </font>
    <font>
      <b/>
      <sz val="10"/>
      <name val="Arial"/>
      <family val="2"/>
    </font>
    <font>
      <sz val="10"/>
      <name val="Arial"/>
      <family val="2"/>
    </font>
    <font>
      <sz val="9"/>
      <color indexed="81"/>
      <name val="Tahoma"/>
      <family val="2"/>
    </font>
    <font>
      <b/>
      <sz val="9"/>
      <color indexed="81"/>
      <name val="Tahoma"/>
      <family val="2"/>
    </font>
    <font>
      <u/>
      <sz val="10"/>
      <color theme="10"/>
      <name val="Arial"/>
      <family val="2"/>
    </font>
    <font>
      <sz val="10"/>
      <color rgb="FFFF0000"/>
      <name val="Arial"/>
      <family val="2"/>
    </font>
    <font>
      <sz val="10"/>
      <color theme="0"/>
      <name val="Arial"/>
      <family val="2"/>
    </font>
    <font>
      <b/>
      <u/>
      <sz val="10"/>
      <name val="Arial"/>
      <family val="2"/>
    </font>
    <font>
      <sz val="11"/>
      <color rgb="FF9C0006"/>
      <name val="Calibri"/>
      <family val="2"/>
      <scheme val="minor"/>
    </font>
    <font>
      <b/>
      <sz val="10"/>
      <color theme="4"/>
      <name val="Arial"/>
      <family val="2"/>
    </font>
    <font>
      <b/>
      <sz val="9"/>
      <color theme="1"/>
      <name val="Verdana"/>
      <family val="2"/>
    </font>
    <font>
      <sz val="9"/>
      <color theme="1"/>
      <name val="Verdana"/>
      <family val="2"/>
    </font>
    <font>
      <u/>
      <sz val="9"/>
      <color theme="10"/>
      <name val="Verdana"/>
      <family val="2"/>
    </font>
    <font>
      <sz val="9"/>
      <color rgb="FFFF0000"/>
      <name val="Verdana"/>
      <family val="2"/>
    </font>
    <font>
      <sz val="9"/>
      <name val="Verdana"/>
      <family val="2"/>
    </font>
    <font>
      <u/>
      <sz val="9"/>
      <color rgb="FFFF0000"/>
      <name val="Verdana"/>
      <family val="2"/>
    </font>
    <font>
      <b/>
      <sz val="9"/>
      <color rgb="FFFF0000"/>
      <name val="Verdana"/>
      <family val="2"/>
    </font>
    <font>
      <b/>
      <sz val="10"/>
      <color theme="0"/>
      <name val="Arial"/>
      <family val="2"/>
    </font>
    <font>
      <sz val="10"/>
      <color theme="0"/>
      <name val="Montserrat"/>
      <scheme val="major"/>
    </font>
    <font>
      <sz val="10"/>
      <color theme="0"/>
      <name val="Arial"/>
      <family val="2"/>
    </font>
    <font>
      <sz val="10"/>
      <color theme="0"/>
      <name val="Effra"/>
    </font>
    <font>
      <sz val="10"/>
      <name val="Effra"/>
    </font>
    <font>
      <u/>
      <sz val="10"/>
      <color theme="10"/>
      <name val="Effra"/>
    </font>
    <font>
      <sz val="10"/>
      <color rgb="FFFF0000"/>
      <name val="Effra"/>
    </font>
    <font>
      <b/>
      <sz val="10"/>
      <name val="Effra"/>
    </font>
    <font>
      <b/>
      <u/>
      <sz val="10"/>
      <name val="Effra"/>
    </font>
    <font>
      <sz val="10"/>
      <color theme="5"/>
      <name val="Effra"/>
    </font>
    <font>
      <b/>
      <sz val="10"/>
      <color theme="3"/>
      <name val="Arial"/>
      <family val="2"/>
    </font>
    <font>
      <sz val="10"/>
      <color theme="3"/>
      <name val="Arial"/>
      <family val="2"/>
    </font>
    <font>
      <sz val="10"/>
      <name val="Calibri"/>
      <family val="2"/>
      <scheme val="minor"/>
    </font>
    <font>
      <b/>
      <sz val="10"/>
      <name val="Calibri"/>
      <family val="2"/>
      <scheme val="minor"/>
    </font>
    <font>
      <sz val="10"/>
      <color theme="3"/>
      <name val="Calibri"/>
      <family val="2"/>
      <scheme val="minor"/>
    </font>
    <font>
      <sz val="10"/>
      <color theme="3"/>
      <name val="Effra"/>
    </font>
    <font>
      <sz val="10"/>
      <color rgb="FFFF0000"/>
      <name val="Calibri"/>
      <family val="2"/>
      <scheme val="minor"/>
    </font>
    <font>
      <b/>
      <sz val="14"/>
      <color theme="1"/>
      <name val="Verdana"/>
      <family val="2"/>
    </font>
    <font>
      <b/>
      <sz val="24"/>
      <color theme="1"/>
      <name val="Verdana"/>
      <family val="2"/>
    </font>
    <font>
      <sz val="10"/>
      <name val="Verdana"/>
      <family val="2"/>
    </font>
    <font>
      <b/>
      <sz val="14"/>
      <color theme="9"/>
      <name val="Verdana"/>
      <family val="2"/>
    </font>
    <font>
      <b/>
      <sz val="10"/>
      <name val="Verdana"/>
      <family val="2"/>
    </font>
    <font>
      <sz val="10"/>
      <color rgb="FFFF0000"/>
      <name val="Verdana"/>
      <family val="2"/>
    </font>
    <font>
      <b/>
      <sz val="10"/>
      <color theme="3"/>
      <name val="Verdana"/>
      <family val="2"/>
    </font>
    <font>
      <sz val="10"/>
      <color theme="0"/>
      <name val="Verdana"/>
      <family val="2"/>
    </font>
    <font>
      <sz val="10"/>
      <color theme="3"/>
      <name val="Verdana"/>
      <family val="2"/>
    </font>
    <font>
      <i/>
      <sz val="10"/>
      <name val="Verdana"/>
      <family val="2"/>
    </font>
    <font>
      <b/>
      <sz val="10"/>
      <color rgb="FFFF0000"/>
      <name val="Verdana"/>
      <family val="2"/>
    </font>
    <font>
      <u/>
      <sz val="10"/>
      <color theme="10"/>
      <name val="Verdana"/>
      <family val="2"/>
    </font>
    <font>
      <b/>
      <sz val="11"/>
      <color theme="1"/>
      <name val="Verdana"/>
      <family val="2"/>
    </font>
    <font>
      <b/>
      <sz val="10"/>
      <color theme="1"/>
      <name val="Verdana"/>
      <family val="2"/>
    </font>
    <font>
      <sz val="10"/>
      <color theme="4"/>
      <name val="Verdana"/>
      <family val="2"/>
    </font>
    <font>
      <b/>
      <sz val="14"/>
      <color theme="0"/>
      <name val="Verdana"/>
      <family val="2"/>
    </font>
    <font>
      <b/>
      <sz val="10"/>
      <color theme="0"/>
      <name val="Verdana"/>
      <family val="2"/>
    </font>
    <font>
      <b/>
      <sz val="10"/>
      <color theme="4"/>
      <name val="Verdana"/>
      <family val="2"/>
    </font>
    <font>
      <sz val="11"/>
      <color rgb="FF9C0006"/>
      <name val="Verdana"/>
      <family val="2"/>
    </font>
    <font>
      <b/>
      <sz val="9"/>
      <name val="Verdana"/>
      <family val="2"/>
    </font>
    <font>
      <sz val="11"/>
      <color theme="1"/>
      <name val="Verdana"/>
      <family val="2"/>
    </font>
    <font>
      <sz val="10"/>
      <color rgb="FF003463"/>
      <name val="Verdana"/>
      <family val="2"/>
    </font>
    <font>
      <b/>
      <vertAlign val="superscript"/>
      <sz val="10"/>
      <color theme="0"/>
      <name val="Effra"/>
    </font>
    <font>
      <vertAlign val="superscript"/>
      <sz val="10"/>
      <name val="Verdana"/>
      <family val="2"/>
    </font>
    <font>
      <vertAlign val="superscript"/>
      <sz val="10"/>
      <color theme="0"/>
      <name val="Effra"/>
    </font>
    <font>
      <vertAlign val="superscript"/>
      <sz val="10"/>
      <color theme="0"/>
      <name val="Verdana"/>
      <family val="2"/>
    </font>
    <font>
      <b/>
      <vertAlign val="superscript"/>
      <sz val="10"/>
      <name val="Verdana"/>
      <family val="2"/>
    </font>
    <font>
      <sz val="11"/>
      <color rgb="FF000000"/>
      <name val="Calibri"/>
      <family val="2"/>
    </font>
    <font>
      <u/>
      <sz val="10"/>
      <color theme="0"/>
      <name val="Verdana"/>
      <family val="2"/>
    </font>
    <font>
      <vertAlign val="superscript"/>
      <sz val="10"/>
      <color theme="0"/>
      <name val="Arial"/>
      <family val="2"/>
    </font>
    <font>
      <sz val="11"/>
      <color theme="0"/>
      <name val="Verdana"/>
      <family val="2"/>
    </font>
    <font>
      <sz val="10"/>
      <color theme="4"/>
      <name val="Arial"/>
      <family val="2"/>
    </font>
    <font>
      <b/>
      <sz val="10"/>
      <color theme="9"/>
      <name val="Verdana"/>
      <family val="2"/>
    </font>
    <font>
      <b/>
      <sz val="11"/>
      <name val="Verdana"/>
      <family val="2"/>
    </font>
    <font>
      <b/>
      <sz val="11"/>
      <color theme="9"/>
      <name val="Verdana"/>
      <family val="2"/>
    </font>
    <font>
      <sz val="12"/>
      <name val="Calibri"/>
      <family val="2"/>
      <scheme val="minor"/>
    </font>
    <font>
      <b/>
      <u/>
      <sz val="10"/>
      <color theme="9"/>
      <name val="Verdana"/>
      <family val="2"/>
    </font>
    <font>
      <sz val="11"/>
      <name val="Verdana"/>
      <family val="2"/>
    </font>
    <font>
      <u/>
      <sz val="11"/>
      <color theme="10"/>
      <name val="Verdana"/>
      <family val="2"/>
    </font>
  </fonts>
  <fills count="19">
    <fill>
      <patternFill patternType="none"/>
    </fill>
    <fill>
      <patternFill patternType="gray125"/>
    </fill>
    <fill>
      <patternFill patternType="solid">
        <fgColor rgb="FFFFC7CE"/>
      </patternFill>
    </fill>
    <fill>
      <patternFill patternType="solid">
        <fgColor rgb="FFFFFF0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bgColor indexed="64"/>
      </patternFill>
    </fill>
    <fill>
      <patternFill patternType="solid">
        <fgColor theme="6" tint="0.59999389629810485"/>
        <bgColor indexed="64"/>
      </patternFill>
    </fill>
    <fill>
      <patternFill patternType="solid">
        <fgColor theme="3"/>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0"/>
        <bgColor indexed="64"/>
      </patternFill>
    </fill>
  </fills>
  <borders count="27">
    <border>
      <left/>
      <right/>
      <top/>
      <bottom/>
      <diagonal/>
    </border>
    <border>
      <left/>
      <right/>
      <top style="thin">
        <color indexed="64"/>
      </top>
      <bottom style="thin">
        <color indexed="64"/>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top/>
      <bottom style="thin">
        <color theme="7" tint="-0.249977111117893"/>
      </bottom>
      <diagonal/>
    </border>
    <border>
      <left/>
      <right/>
      <top style="thin">
        <color theme="7" tint="-0.249977111117893"/>
      </top>
      <bottom style="thin">
        <color theme="7" tint="-0.249977111117893"/>
      </bottom>
      <diagonal/>
    </border>
    <border>
      <left/>
      <right/>
      <top/>
      <bottom style="medium">
        <color theme="7" tint="-0.249977111117893"/>
      </bottom>
      <diagonal/>
    </border>
    <border>
      <left/>
      <right/>
      <top style="thin">
        <color indexed="64"/>
      </top>
      <bottom/>
      <diagonal/>
    </border>
    <border>
      <left/>
      <right/>
      <top/>
      <bottom style="thick">
        <color theme="9"/>
      </bottom>
      <diagonal/>
    </border>
    <border>
      <left style="thick">
        <color theme="9"/>
      </left>
      <right style="thick">
        <color theme="9"/>
      </right>
      <top style="thick">
        <color theme="9"/>
      </top>
      <bottom style="thick">
        <color theme="9"/>
      </bottom>
      <diagonal/>
    </border>
    <border>
      <left/>
      <right style="thick">
        <color theme="9"/>
      </right>
      <top/>
      <bottom/>
      <diagonal/>
    </border>
    <border>
      <left style="thick">
        <color theme="9"/>
      </left>
      <right/>
      <top/>
      <bottom/>
      <diagonal/>
    </border>
    <border>
      <left/>
      <right/>
      <top style="thick">
        <color theme="9"/>
      </top>
      <bottom/>
      <diagonal/>
    </border>
    <border>
      <left/>
      <right style="thick">
        <color theme="9"/>
      </right>
      <top/>
      <bottom style="thin">
        <color indexed="64"/>
      </bottom>
      <diagonal/>
    </border>
    <border>
      <left/>
      <right style="thin">
        <color theme="9"/>
      </right>
      <top/>
      <bottom/>
      <diagonal/>
    </border>
    <border>
      <left/>
      <right style="thin">
        <color theme="9"/>
      </right>
      <top/>
      <bottom style="medium">
        <color theme="7" tint="-0.249977111117893"/>
      </bottom>
      <diagonal/>
    </border>
    <border>
      <left/>
      <right/>
      <top/>
      <bottom style="mediumDashed">
        <color theme="9"/>
      </bottom>
      <diagonal/>
    </border>
    <border>
      <left/>
      <right style="mediumDashed">
        <color theme="9"/>
      </right>
      <top style="mediumDashed">
        <color theme="9"/>
      </top>
      <bottom/>
      <diagonal/>
    </border>
    <border>
      <left/>
      <right style="mediumDashed">
        <color theme="9"/>
      </right>
      <top/>
      <bottom/>
      <diagonal/>
    </border>
    <border>
      <left style="mediumDashed">
        <color theme="9"/>
      </left>
      <right/>
      <top/>
      <bottom/>
      <diagonal/>
    </border>
    <border>
      <left/>
      <right style="mediumDashed">
        <color theme="9"/>
      </right>
      <top/>
      <bottom style="mediumDashed">
        <color theme="9"/>
      </bottom>
      <diagonal/>
    </border>
    <border>
      <left style="thick">
        <color theme="9"/>
      </left>
      <right style="mediumDashed">
        <color theme="9"/>
      </right>
      <top/>
      <bottom/>
      <diagonal/>
    </border>
    <border>
      <left style="mediumDashed">
        <color theme="9"/>
      </left>
      <right/>
      <top style="mediumDashed">
        <color theme="9"/>
      </top>
      <bottom/>
      <diagonal/>
    </border>
    <border>
      <left style="thick">
        <color theme="9"/>
      </left>
      <right style="mediumDashed">
        <color theme="9"/>
      </right>
      <top/>
      <bottom style="thick">
        <color theme="9"/>
      </bottom>
      <diagonal/>
    </border>
  </borders>
  <cellStyleXfs count="8">
    <xf numFmtId="0" fontId="0" fillId="0" borderId="0"/>
    <xf numFmtId="9" fontId="2" fillId="0" borderId="0" applyFont="0" applyFill="0" applyBorder="0" applyAlignment="0" applyProtection="0"/>
    <xf numFmtId="164" fontId="2" fillId="0" borderId="0" applyFont="0" applyFill="0" applyBorder="0" applyAlignment="0" applyProtection="0"/>
    <xf numFmtId="0" fontId="7" fillId="0" borderId="0" applyNumberFormat="0" applyFill="0" applyBorder="0" applyAlignment="0" applyProtection="0"/>
    <xf numFmtId="0" fontId="11" fillId="2" borderId="0" applyNumberFormat="0" applyBorder="0" applyAlignment="0" applyProtection="0"/>
    <xf numFmtId="0" fontId="14" fillId="0" borderId="0"/>
    <xf numFmtId="0" fontId="15" fillId="0" borderId="0" applyNumberFormat="0" applyFill="0" applyBorder="0" applyAlignment="0" applyProtection="0"/>
    <xf numFmtId="9" fontId="14" fillId="0" borderId="0" applyFont="0" applyFill="0" applyBorder="0" applyAlignment="0" applyProtection="0"/>
  </cellStyleXfs>
  <cellXfs count="513">
    <xf numFmtId="0" fontId="0" fillId="0" borderId="0" xfId="0"/>
    <xf numFmtId="0" fontId="3" fillId="0" borderId="0" xfId="0" applyFont="1"/>
    <xf numFmtId="0" fontId="8" fillId="0" borderId="0" xfId="0" applyFont="1"/>
    <xf numFmtId="0" fontId="2" fillId="0" borderId="0" xfId="0" applyFont="1"/>
    <xf numFmtId="0" fontId="12" fillId="0" borderId="0" xfId="0" applyFont="1"/>
    <xf numFmtId="0" fontId="12" fillId="0" borderId="0" xfId="0" applyFont="1" applyAlignment="1">
      <alignment horizontal="center"/>
    </xf>
    <xf numFmtId="0" fontId="3" fillId="5" borderId="0" xfId="0" applyFont="1" applyFill="1"/>
    <xf numFmtId="0" fontId="0" fillId="5" borderId="0" xfId="0" applyFill="1"/>
    <xf numFmtId="0" fontId="0" fillId="6" borderId="0" xfId="0" applyFill="1"/>
    <xf numFmtId="0" fontId="0" fillId="11" borderId="0" xfId="0" applyFill="1"/>
    <xf numFmtId="0" fontId="14" fillId="0" borderId="0" xfId="5"/>
    <xf numFmtId="0" fontId="14" fillId="7" borderId="0" xfId="5" applyFill="1"/>
    <xf numFmtId="0" fontId="14" fillId="6" borderId="0" xfId="5" applyFill="1"/>
    <xf numFmtId="0" fontId="14" fillId="8" borderId="0" xfId="5" applyFill="1"/>
    <xf numFmtId="0" fontId="13" fillId="9" borderId="0" xfId="5" applyFont="1" applyFill="1"/>
    <xf numFmtId="0" fontId="13" fillId="11" borderId="0" xfId="5" applyFont="1" applyFill="1"/>
    <xf numFmtId="0" fontId="13" fillId="9" borderId="0" xfId="5" applyFont="1" applyFill="1" applyAlignment="1">
      <alignment horizontal="right"/>
    </xf>
    <xf numFmtId="0" fontId="13" fillId="9" borderId="0" xfId="5" applyFont="1" applyFill="1" applyAlignment="1">
      <alignment horizontal="left"/>
    </xf>
    <xf numFmtId="0" fontId="16" fillId="9" borderId="0" xfId="5" applyFont="1" applyFill="1"/>
    <xf numFmtId="9" fontId="16" fillId="9" borderId="0" xfId="7" applyFont="1" applyFill="1"/>
    <xf numFmtId="0" fontId="13" fillId="10" borderId="0" xfId="5" applyFont="1" applyFill="1" applyAlignment="1">
      <alignment horizontal="right"/>
    </xf>
    <xf numFmtId="0" fontId="13" fillId="10" borderId="0" xfId="5" applyFont="1" applyFill="1" applyAlignment="1">
      <alignment horizontal="left"/>
    </xf>
    <xf numFmtId="0" fontId="16" fillId="10" borderId="0" xfId="5" applyFont="1" applyFill="1"/>
    <xf numFmtId="9" fontId="16" fillId="10" borderId="0" xfId="7" applyFont="1" applyFill="1"/>
    <xf numFmtId="3" fontId="16" fillId="3" borderId="0" xfId="5" applyNumberFormat="1" applyFont="1" applyFill="1"/>
    <xf numFmtId="0" fontId="16" fillId="6" borderId="0" xfId="5" applyFont="1" applyFill="1"/>
    <xf numFmtId="0" fontId="16" fillId="0" borderId="0" xfId="5" applyFont="1"/>
    <xf numFmtId="9" fontId="17" fillId="7" borderId="0" xfId="7" applyFont="1" applyFill="1"/>
    <xf numFmtId="0" fontId="18" fillId="9" borderId="0" xfId="6" applyFont="1" applyFill="1"/>
    <xf numFmtId="0" fontId="13" fillId="4" borderId="0" xfId="5" applyFont="1" applyFill="1"/>
    <xf numFmtId="0" fontId="16" fillId="11" borderId="0" xfId="5" applyFont="1" applyFill="1"/>
    <xf numFmtId="10" fontId="16" fillId="11" borderId="0" xfId="5" applyNumberFormat="1" applyFont="1" applyFill="1" applyAlignment="1">
      <alignment horizontal="right"/>
    </xf>
    <xf numFmtId="9" fontId="16" fillId="11" borderId="0" xfId="7" applyFont="1" applyFill="1"/>
    <xf numFmtId="9" fontId="16" fillId="0" borderId="0" xfId="7" applyFont="1"/>
    <xf numFmtId="2" fontId="16" fillId="0" borderId="0" xfId="5" applyNumberFormat="1" applyFont="1"/>
    <xf numFmtId="0" fontId="13" fillId="0" borderId="0" xfId="5" applyFont="1"/>
    <xf numFmtId="0" fontId="17" fillId="6" borderId="0" xfId="5" applyFont="1" applyFill="1"/>
    <xf numFmtId="0" fontId="13" fillId="0" borderId="0" xfId="5" applyFont="1" applyAlignment="1">
      <alignment horizontal="center"/>
    </xf>
    <xf numFmtId="0" fontId="3" fillId="0" borderId="0" xfId="0" applyFont="1" applyAlignment="1">
      <alignment wrapText="1"/>
    </xf>
    <xf numFmtId="0" fontId="17" fillId="9" borderId="0" xfId="5" applyFont="1" applyFill="1"/>
    <xf numFmtId="9" fontId="17" fillId="9" borderId="0" xfId="7" applyFont="1" applyFill="1"/>
    <xf numFmtId="0" fontId="19" fillId="0" borderId="0" xfId="5" applyFont="1" applyAlignment="1">
      <alignment horizontal="center"/>
    </xf>
    <xf numFmtId="0" fontId="3" fillId="13" borderId="0" xfId="0" applyFont="1" applyFill="1"/>
    <xf numFmtId="0" fontId="0" fillId="13" borderId="0" xfId="0" applyFill="1"/>
    <xf numFmtId="0" fontId="0" fillId="15" borderId="0" xfId="0" applyFill="1"/>
    <xf numFmtId="0" fontId="9" fillId="15" borderId="0" xfId="0" applyFont="1" applyFill="1"/>
    <xf numFmtId="0" fontId="21" fillId="15" borderId="0" xfId="0" applyFont="1" applyFill="1"/>
    <xf numFmtId="0" fontId="22" fillId="15" borderId="0" xfId="0" applyFont="1" applyFill="1"/>
    <xf numFmtId="0" fontId="23" fillId="15" borderId="0" xfId="0" applyFont="1" applyFill="1"/>
    <xf numFmtId="0" fontId="0" fillId="13" borderId="0" xfId="0" applyFill="1" applyAlignment="1">
      <alignment wrapText="1"/>
    </xf>
    <xf numFmtId="9" fontId="0" fillId="13" borderId="0" xfId="0" applyNumberFormat="1" applyFill="1"/>
    <xf numFmtId="9" fontId="2" fillId="13" borderId="0" xfId="0" applyNumberFormat="1" applyFont="1" applyFill="1"/>
    <xf numFmtId="0" fontId="3" fillId="13" borderId="0" xfId="0" applyFont="1" applyFill="1" applyAlignment="1">
      <alignment horizontal="right" wrapText="1"/>
    </xf>
    <xf numFmtId="9" fontId="0" fillId="13" borderId="0" xfId="1" applyFont="1" applyFill="1"/>
    <xf numFmtId="0" fontId="10" fillId="13" borderId="0" xfId="0" applyFont="1" applyFill="1"/>
    <xf numFmtId="0" fontId="7" fillId="13" borderId="0" xfId="3" applyFill="1" applyAlignment="1">
      <alignment horizontal="center"/>
    </xf>
    <xf numFmtId="0" fontId="0" fillId="11" borderId="0" xfId="0" applyFill="1" applyAlignment="1">
      <alignment wrapText="1"/>
    </xf>
    <xf numFmtId="0" fontId="3" fillId="11" borderId="0" xfId="0" applyFont="1" applyFill="1"/>
    <xf numFmtId="0" fontId="7" fillId="11" borderId="0" xfId="3" applyFill="1" applyAlignment="1">
      <alignment horizontal="center"/>
    </xf>
    <xf numFmtId="0" fontId="24" fillId="11" borderId="0" xfId="0" applyFont="1" applyFill="1"/>
    <xf numFmtId="0" fontId="27" fillId="11" borderId="0" xfId="0" applyFont="1" applyFill="1"/>
    <xf numFmtId="0" fontId="25" fillId="11" borderId="0" xfId="3" applyFont="1" applyFill="1" applyAlignment="1">
      <alignment horizontal="center"/>
    </xf>
    <xf numFmtId="0" fontId="24" fillId="11" borderId="0" xfId="0" applyFont="1" applyFill="1" applyAlignment="1">
      <alignment wrapText="1"/>
    </xf>
    <xf numFmtId="0" fontId="24" fillId="13" borderId="0" xfId="0" applyFont="1" applyFill="1"/>
    <xf numFmtId="0" fontId="24" fillId="6" borderId="0" xfId="0" applyFont="1" applyFill="1"/>
    <xf numFmtId="0" fontId="24" fillId="0" borderId="0" xfId="0" applyFont="1"/>
    <xf numFmtId="0" fontId="27" fillId="6" borderId="0" xfId="0" applyFont="1" applyFill="1"/>
    <xf numFmtId="165" fontId="24" fillId="6" borderId="0" xfId="0" applyNumberFormat="1" applyFont="1" applyFill="1"/>
    <xf numFmtId="2" fontId="0" fillId="15" borderId="0" xfId="0" applyNumberFormat="1" applyFill="1"/>
    <xf numFmtId="2" fontId="9" fillId="15" borderId="0" xfId="0" applyNumberFormat="1" applyFont="1" applyFill="1"/>
    <xf numFmtId="0" fontId="20" fillId="6" borderId="0" xfId="0" applyFont="1" applyFill="1" applyAlignment="1">
      <alignment vertical="center"/>
    </xf>
    <xf numFmtId="0" fontId="22" fillId="0" borderId="0" xfId="0" applyFont="1"/>
    <xf numFmtId="0" fontId="23" fillId="0" borderId="0" xfId="0" applyFont="1"/>
    <xf numFmtId="0" fontId="28" fillId="0" borderId="0" xfId="0" applyFont="1"/>
    <xf numFmtId="0" fontId="27" fillId="0" borderId="0" xfId="0" applyFont="1"/>
    <xf numFmtId="9" fontId="24" fillId="0" borderId="0" xfId="1" applyFont="1" applyFill="1"/>
    <xf numFmtId="166" fontId="24" fillId="0" borderId="0" xfId="2" applyNumberFormat="1" applyFont="1" applyFill="1"/>
    <xf numFmtId="0" fontId="25" fillId="0" borderId="0" xfId="3" applyFont="1" applyFill="1"/>
    <xf numFmtId="0" fontId="29" fillId="0" borderId="0" xfId="0" applyFont="1"/>
    <xf numFmtId="0" fontId="27" fillId="0" borderId="0" xfId="0" applyFont="1" applyAlignment="1">
      <alignment horizontal="right" wrapText="1"/>
    </xf>
    <xf numFmtId="0" fontId="24" fillId="0" borderId="0" xfId="0" applyFont="1" applyProtection="1">
      <protection locked="0"/>
    </xf>
    <xf numFmtId="0" fontId="27" fillId="0" borderId="0" xfId="0" applyFont="1" applyAlignment="1">
      <alignment horizontal="right"/>
    </xf>
    <xf numFmtId="0" fontId="24" fillId="0" borderId="0" xfId="0" applyFont="1" applyAlignment="1">
      <alignment horizontal="right"/>
    </xf>
    <xf numFmtId="3" fontId="24" fillId="0" borderId="0" xfId="2" applyNumberFormat="1" applyFont="1" applyFill="1" applyBorder="1"/>
    <xf numFmtId="3" fontId="24" fillId="0" borderId="0" xfId="0" applyNumberFormat="1" applyFont="1"/>
    <xf numFmtId="1" fontId="24" fillId="0" borderId="0" xfId="0" applyNumberFormat="1" applyFont="1"/>
    <xf numFmtId="0" fontId="26" fillId="0" borderId="0" xfId="0" applyFont="1" applyAlignment="1">
      <alignment horizontal="right"/>
    </xf>
    <xf numFmtId="0" fontId="32" fillId="0" borderId="0" xfId="0" applyFont="1"/>
    <xf numFmtId="0" fontId="20" fillId="6" borderId="2" xfId="0" applyFont="1" applyFill="1" applyBorder="1" applyAlignment="1">
      <alignment vertical="center"/>
    </xf>
    <xf numFmtId="0" fontId="0" fillId="6" borderId="2" xfId="0" applyFill="1" applyBorder="1"/>
    <xf numFmtId="0" fontId="0" fillId="6" borderId="1" xfId="0" applyFill="1" applyBorder="1"/>
    <xf numFmtId="0" fontId="9" fillId="6" borderId="0" xfId="0" applyFont="1" applyFill="1"/>
    <xf numFmtId="0" fontId="9" fillId="0" borderId="0" xfId="0" applyFont="1"/>
    <xf numFmtId="0" fontId="31" fillId="0" borderId="0" xfId="0" applyFont="1"/>
    <xf numFmtId="0" fontId="34" fillId="0" borderId="0" xfId="0" applyFont="1"/>
    <xf numFmtId="0" fontId="35" fillId="0" borderId="0" xfId="0" applyFont="1"/>
    <xf numFmtId="0" fontId="30" fillId="0" borderId="0" xfId="0" applyFont="1"/>
    <xf numFmtId="0" fontId="32" fillId="6" borderId="0" xfId="0" applyFont="1" applyFill="1"/>
    <xf numFmtId="0" fontId="33" fillId="17" borderId="0" xfId="0" applyFont="1" applyFill="1" applyAlignment="1">
      <alignment horizontal="right" wrapText="1"/>
    </xf>
    <xf numFmtId="165" fontId="32" fillId="17" borderId="0" xfId="0" applyNumberFormat="1" applyFont="1" applyFill="1"/>
    <xf numFmtId="0" fontId="32" fillId="17" borderId="0" xfId="0" applyFont="1" applyFill="1"/>
    <xf numFmtId="9" fontId="24" fillId="0" borderId="0" xfId="0" applyNumberFormat="1" applyFont="1"/>
    <xf numFmtId="0" fontId="36" fillId="0" borderId="0" xfId="0" applyFont="1"/>
    <xf numFmtId="0" fontId="37" fillId="10" borderId="0" xfId="5" applyFont="1" applyFill="1"/>
    <xf numFmtId="0" fontId="38" fillId="10" borderId="0" xfId="5" applyFont="1" applyFill="1"/>
    <xf numFmtId="0" fontId="37" fillId="12" borderId="0" xfId="5" applyFont="1" applyFill="1"/>
    <xf numFmtId="0" fontId="38" fillId="12" borderId="0" xfId="5" applyFont="1" applyFill="1"/>
    <xf numFmtId="0" fontId="37" fillId="4" borderId="0" xfId="5" applyFont="1" applyFill="1"/>
    <xf numFmtId="0" fontId="38" fillId="4" borderId="0" xfId="5" applyFont="1" applyFill="1"/>
    <xf numFmtId="0" fontId="37" fillId="11" borderId="0" xfId="5" applyFont="1" applyFill="1"/>
    <xf numFmtId="0" fontId="38" fillId="11" borderId="0" xfId="5" applyFont="1" applyFill="1"/>
    <xf numFmtId="0" fontId="37" fillId="9" borderId="0" xfId="5" applyFont="1" applyFill="1"/>
    <xf numFmtId="0" fontId="38" fillId="9" borderId="0" xfId="5" applyFont="1" applyFill="1"/>
    <xf numFmtId="0" fontId="37" fillId="8" borderId="0" xfId="5" applyFont="1" applyFill="1"/>
    <xf numFmtId="0" fontId="38" fillId="8" borderId="0" xfId="5" applyFont="1" applyFill="1"/>
    <xf numFmtId="0" fontId="37" fillId="6" borderId="0" xfId="5" applyFont="1" applyFill="1"/>
    <xf numFmtId="0" fontId="38" fillId="6" borderId="0" xfId="5" applyFont="1" applyFill="1"/>
    <xf numFmtId="0" fontId="37" fillId="7" borderId="0" xfId="5" applyFont="1" applyFill="1"/>
    <xf numFmtId="0" fontId="38" fillId="7" borderId="0" xfId="5" applyFont="1" applyFill="1"/>
    <xf numFmtId="0" fontId="17" fillId="10" borderId="0" xfId="5" applyFont="1" applyFill="1"/>
    <xf numFmtId="0" fontId="13" fillId="12" borderId="0" xfId="5" applyFont="1" applyFill="1" applyAlignment="1">
      <alignment wrapText="1"/>
    </xf>
    <xf numFmtId="9" fontId="14" fillId="11" borderId="0" xfId="1" applyFont="1" applyFill="1"/>
    <xf numFmtId="166" fontId="31" fillId="0" borderId="0" xfId="2" applyNumberFormat="1" applyFont="1" applyFill="1" applyBorder="1"/>
    <xf numFmtId="0" fontId="33" fillId="17" borderId="0" xfId="0" applyFont="1" applyFill="1" applyAlignment="1">
      <alignment horizontal="right"/>
    </xf>
    <xf numFmtId="0" fontId="4" fillId="0" borderId="0" xfId="0" applyFont="1"/>
    <xf numFmtId="0" fontId="40" fillId="0" borderId="0" xfId="0" applyFont="1" applyAlignment="1">
      <alignment horizontal="center" vertical="center" wrapText="1"/>
    </xf>
    <xf numFmtId="0" fontId="41" fillId="0" borderId="0" xfId="0" applyFont="1"/>
    <xf numFmtId="0" fontId="42" fillId="0" borderId="0" xfId="0" applyFont="1" applyAlignment="1">
      <alignment horizontal="center" vertical="center" wrapText="1"/>
    </xf>
    <xf numFmtId="0" fontId="43" fillId="0" borderId="0" xfId="0" applyFont="1" applyAlignment="1">
      <alignment wrapText="1"/>
    </xf>
    <xf numFmtId="0" fontId="43" fillId="0" borderId="11" xfId="0" applyFont="1" applyBorder="1"/>
    <xf numFmtId="0" fontId="39" fillId="0" borderId="0" xfId="0" applyFont="1"/>
    <xf numFmtId="0" fontId="43" fillId="0" borderId="0" xfId="0" applyFont="1"/>
    <xf numFmtId="0" fontId="44" fillId="0" borderId="0" xfId="0" applyFont="1"/>
    <xf numFmtId="0" fontId="39" fillId="0" borderId="13" xfId="0" applyFont="1" applyBorder="1"/>
    <xf numFmtId="166" fontId="45" fillId="7" borderId="12" xfId="2" applyNumberFormat="1" applyFont="1" applyFill="1" applyBorder="1"/>
    <xf numFmtId="0" fontId="39" fillId="0" borderId="0" xfId="0" applyFont="1" applyAlignment="1">
      <alignment wrapText="1"/>
    </xf>
    <xf numFmtId="0" fontId="45" fillId="0" borderId="0" xfId="0" applyFont="1"/>
    <xf numFmtId="9" fontId="42" fillId="0" borderId="0" xfId="0" applyNumberFormat="1" applyFont="1"/>
    <xf numFmtId="0" fontId="39" fillId="0" borderId="16" xfId="0" applyFont="1" applyBorder="1"/>
    <xf numFmtId="0" fontId="46" fillId="0" borderId="10" xfId="0" applyFont="1" applyBorder="1"/>
    <xf numFmtId="9" fontId="47" fillId="0" borderId="0" xfId="1" applyFont="1" applyFill="1" applyAlignment="1">
      <alignment horizontal="center" vertical="center"/>
    </xf>
    <xf numFmtId="0" fontId="42" fillId="0" borderId="0" xfId="0" applyFont="1"/>
    <xf numFmtId="0" fontId="39" fillId="11" borderId="0" xfId="0" applyFont="1" applyFill="1"/>
    <xf numFmtId="0" fontId="46" fillId="11" borderId="0" xfId="0" applyFont="1" applyFill="1"/>
    <xf numFmtId="0" fontId="42" fillId="11" borderId="0" xfId="0" applyFont="1" applyFill="1"/>
    <xf numFmtId="0" fontId="46" fillId="16" borderId="0" xfId="0" applyFont="1" applyFill="1"/>
    <xf numFmtId="0" fontId="41" fillId="11" borderId="0" xfId="0" applyFont="1" applyFill="1"/>
    <xf numFmtId="0" fontId="41" fillId="11" borderId="0" xfId="0" applyFont="1" applyFill="1" applyAlignment="1">
      <alignment horizontal="right" wrapText="1"/>
    </xf>
    <xf numFmtId="0" fontId="41" fillId="11" borderId="0" xfId="0" applyFont="1" applyFill="1" applyAlignment="1">
      <alignment horizontal="right"/>
    </xf>
    <xf numFmtId="0" fontId="39" fillId="16" borderId="7" xfId="0" applyFont="1" applyFill="1" applyBorder="1"/>
    <xf numFmtId="9" fontId="39" fillId="16" borderId="7" xfId="1" applyFont="1" applyFill="1" applyBorder="1"/>
    <xf numFmtId="9" fontId="39" fillId="16" borderId="7" xfId="1" applyFont="1" applyFill="1" applyBorder="1" applyAlignment="1">
      <alignment horizontal="center"/>
    </xf>
    <xf numFmtId="9" fontId="39" fillId="11" borderId="0" xfId="0" applyNumberFormat="1" applyFont="1" applyFill="1"/>
    <xf numFmtId="0" fontId="39" fillId="16" borderId="0" xfId="0" applyFont="1" applyFill="1"/>
    <xf numFmtId="9" fontId="39" fillId="16" borderId="0" xfId="1" applyFont="1" applyFill="1" applyAlignment="1">
      <alignment horizontal="center"/>
    </xf>
    <xf numFmtId="0" fontId="39" fillId="16" borderId="8" xfId="0" applyFont="1" applyFill="1" applyBorder="1"/>
    <xf numFmtId="9" fontId="39" fillId="16" borderId="8" xfId="1" applyFont="1" applyFill="1" applyBorder="1" applyAlignment="1">
      <alignment horizontal="center"/>
    </xf>
    <xf numFmtId="9" fontId="42" fillId="11" borderId="0" xfId="0" applyNumberFormat="1" applyFont="1" applyFill="1"/>
    <xf numFmtId="9" fontId="39" fillId="11" borderId="0" xfId="1" applyFont="1" applyFill="1"/>
    <xf numFmtId="9" fontId="39" fillId="11" borderId="0" xfId="1" applyFont="1" applyFill="1" applyAlignment="1">
      <alignment horizontal="center"/>
    </xf>
    <xf numFmtId="166" fontId="41" fillId="11" borderId="0" xfId="2" applyNumberFormat="1" applyFont="1" applyFill="1"/>
    <xf numFmtId="168" fontId="39" fillId="11" borderId="0" xfId="1" applyNumberFormat="1" applyFont="1" applyFill="1"/>
    <xf numFmtId="9" fontId="39" fillId="11" borderId="0" xfId="0" applyNumberFormat="1" applyFont="1" applyFill="1" applyAlignment="1">
      <alignment horizontal="left" indent="6"/>
    </xf>
    <xf numFmtId="0" fontId="44" fillId="11" borderId="0" xfId="0" applyFont="1" applyFill="1"/>
    <xf numFmtId="9" fontId="44" fillId="11" borderId="0" xfId="0" applyNumberFormat="1" applyFont="1" applyFill="1"/>
    <xf numFmtId="0" fontId="41" fillId="16" borderId="9" xfId="0" applyFont="1" applyFill="1" applyBorder="1" applyAlignment="1">
      <alignment horizontal="center" wrapText="1"/>
    </xf>
    <xf numFmtId="0" fontId="39" fillId="11" borderId="0" xfId="0" applyFont="1" applyFill="1" applyAlignment="1">
      <alignment wrapText="1"/>
    </xf>
    <xf numFmtId="9" fontId="42" fillId="11" borderId="0" xfId="1" applyFont="1" applyFill="1" applyBorder="1" applyAlignment="1">
      <alignment horizontal="center"/>
    </xf>
    <xf numFmtId="2" fontId="39" fillId="11" borderId="0" xfId="0" applyNumberFormat="1" applyFont="1" applyFill="1" applyAlignment="1">
      <alignment horizontal="center"/>
    </xf>
    <xf numFmtId="0" fontId="39" fillId="11" borderId="0" xfId="0" applyFont="1" applyFill="1" applyAlignment="1">
      <alignment horizontal="center"/>
    </xf>
    <xf numFmtId="0" fontId="39" fillId="13" borderId="0" xfId="0" applyFont="1" applyFill="1"/>
    <xf numFmtId="0" fontId="41" fillId="16" borderId="9" xfId="0" applyFont="1" applyFill="1" applyBorder="1"/>
    <xf numFmtId="0" fontId="39" fillId="16" borderId="9" xfId="0" applyFont="1" applyFill="1" applyBorder="1" applyAlignment="1">
      <alignment horizontal="right" wrapText="1"/>
    </xf>
    <xf numFmtId="0" fontId="39" fillId="16" borderId="9" xfId="0" applyFont="1" applyFill="1" applyBorder="1" applyAlignment="1">
      <alignment horizontal="center" wrapText="1"/>
    </xf>
    <xf numFmtId="0" fontId="50" fillId="11" borderId="0" xfId="0" applyFont="1" applyFill="1"/>
    <xf numFmtId="0" fontId="41" fillId="16" borderId="9" xfId="0" applyFont="1" applyFill="1" applyBorder="1" applyAlignment="1">
      <alignment horizontal="right" wrapText="1"/>
    </xf>
    <xf numFmtId="0" fontId="41" fillId="16" borderId="18" xfId="0" applyFont="1" applyFill="1" applyBorder="1" applyAlignment="1">
      <alignment horizontal="right" wrapText="1"/>
    </xf>
    <xf numFmtId="0" fontId="50" fillId="11" borderId="0" xfId="0" applyFont="1" applyFill="1" applyAlignment="1">
      <alignment horizontal="right"/>
    </xf>
    <xf numFmtId="0" fontId="50" fillId="16" borderId="9" xfId="0" applyFont="1" applyFill="1" applyBorder="1"/>
    <xf numFmtId="0" fontId="50" fillId="16" borderId="9" xfId="0" applyFont="1" applyFill="1" applyBorder="1" applyAlignment="1">
      <alignment horizontal="center" wrapText="1"/>
    </xf>
    <xf numFmtId="0" fontId="47" fillId="11" borderId="0" xfId="0" applyFont="1" applyFill="1" applyAlignment="1">
      <alignment horizontal="center"/>
    </xf>
    <xf numFmtId="0" fontId="50" fillId="11" borderId="0" xfId="0" applyFont="1" applyFill="1" applyAlignment="1">
      <alignment horizontal="center" wrapText="1"/>
    </xf>
    <xf numFmtId="0" fontId="39" fillId="6" borderId="0" xfId="0" applyFont="1" applyFill="1"/>
    <xf numFmtId="2" fontId="39" fillId="6" borderId="0" xfId="0" applyNumberFormat="1" applyFont="1" applyFill="1"/>
    <xf numFmtId="1" fontId="39" fillId="6" borderId="0" xfId="0" applyNumberFormat="1" applyFont="1" applyFill="1"/>
    <xf numFmtId="0" fontId="39" fillId="6" borderId="0" xfId="0" applyFont="1" applyFill="1" applyAlignment="1">
      <alignment wrapText="1"/>
    </xf>
    <xf numFmtId="0" fontId="39" fillId="14" borderId="0" xfId="0" applyFont="1" applyFill="1"/>
    <xf numFmtId="3" fontId="39" fillId="14" borderId="0" xfId="0" applyNumberFormat="1" applyFont="1" applyFill="1"/>
    <xf numFmtId="0" fontId="41" fillId="17" borderId="2" xfId="0" applyFont="1" applyFill="1" applyBorder="1" applyAlignment="1">
      <alignment horizontal="center"/>
    </xf>
    <xf numFmtId="0" fontId="39" fillId="9" borderId="0" xfId="0" applyFont="1" applyFill="1"/>
    <xf numFmtId="0" fontId="41" fillId="9" borderId="0" xfId="0" applyFont="1" applyFill="1" applyAlignment="1">
      <alignment horizontal="right"/>
    </xf>
    <xf numFmtId="0" fontId="41" fillId="4" borderId="0" xfId="0" applyFont="1" applyFill="1" applyAlignment="1">
      <alignment horizontal="right" wrapText="1"/>
    </xf>
    <xf numFmtId="0" fontId="41" fillId="14" borderId="0" xfId="0" applyFont="1" applyFill="1" applyAlignment="1">
      <alignment horizontal="right" wrapText="1"/>
    </xf>
    <xf numFmtId="0" fontId="41" fillId="17" borderId="0" xfId="0" applyFont="1" applyFill="1" applyAlignment="1">
      <alignment horizontal="right" wrapText="1"/>
    </xf>
    <xf numFmtId="9" fontId="39" fillId="9" borderId="0" xfId="1" applyFont="1" applyFill="1"/>
    <xf numFmtId="2" fontId="39" fillId="4" borderId="0" xfId="0" applyNumberFormat="1" applyFont="1" applyFill="1"/>
    <xf numFmtId="2" fontId="39" fillId="14" borderId="0" xfId="0" applyNumberFormat="1" applyFont="1" applyFill="1"/>
    <xf numFmtId="165" fontId="39" fillId="17" borderId="0" xfId="0" applyNumberFormat="1" applyFont="1" applyFill="1"/>
    <xf numFmtId="0" fontId="42" fillId="6" borderId="0" xfId="0" applyFont="1" applyFill="1"/>
    <xf numFmtId="9" fontId="39" fillId="6" borderId="0" xfId="1" applyFont="1" applyFill="1"/>
    <xf numFmtId="0" fontId="39" fillId="17" borderId="2" xfId="0" applyFont="1" applyFill="1" applyBorder="1"/>
    <xf numFmtId="0" fontId="39" fillId="17" borderId="0" xfId="0" applyFont="1" applyFill="1"/>
    <xf numFmtId="0" fontId="42" fillId="17" borderId="0" xfId="0" applyFont="1" applyFill="1"/>
    <xf numFmtId="165" fontId="39" fillId="17" borderId="2" xfId="0" applyNumberFormat="1" applyFont="1" applyFill="1" applyBorder="1"/>
    <xf numFmtId="0" fontId="42" fillId="17" borderId="2" xfId="0" applyFont="1" applyFill="1" applyBorder="1"/>
    <xf numFmtId="0" fontId="41" fillId="17" borderId="0" xfId="0" applyFont="1" applyFill="1"/>
    <xf numFmtId="165" fontId="41" fillId="17" borderId="0" xfId="0" applyNumberFormat="1" applyFont="1" applyFill="1"/>
    <xf numFmtId="9" fontId="39" fillId="9" borderId="0" xfId="1" applyFont="1" applyFill="1" applyAlignment="1">
      <alignment horizontal="right"/>
    </xf>
    <xf numFmtId="0" fontId="41" fillId="17" borderId="0" xfId="0" applyFont="1" applyFill="1" applyAlignment="1">
      <alignment horizontal="right"/>
    </xf>
    <xf numFmtId="0" fontId="41" fillId="6" borderId="0" xfId="0" applyFont="1" applyFill="1"/>
    <xf numFmtId="165" fontId="39" fillId="6" borderId="0" xfId="0" applyNumberFormat="1" applyFont="1" applyFill="1"/>
    <xf numFmtId="165" fontId="41" fillId="6" borderId="0" xfId="0" applyNumberFormat="1" applyFont="1" applyFill="1"/>
    <xf numFmtId="0" fontId="39" fillId="14" borderId="0" xfId="0" applyFont="1" applyFill="1" applyAlignment="1">
      <alignment horizontal="center"/>
    </xf>
    <xf numFmtId="1" fontId="39" fillId="14" borderId="0" xfId="0" applyNumberFormat="1" applyFont="1" applyFill="1" applyAlignment="1">
      <alignment wrapText="1"/>
    </xf>
    <xf numFmtId="0" fontId="41" fillId="14" borderId="0" xfId="0" applyFont="1" applyFill="1" applyAlignment="1">
      <alignment horizontal="center"/>
    </xf>
    <xf numFmtId="0" fontId="39" fillId="14" borderId="0" xfId="0" applyFont="1" applyFill="1" applyAlignment="1">
      <alignment horizontal="right"/>
    </xf>
    <xf numFmtId="0" fontId="39" fillId="6" borderId="0" xfId="0" applyFont="1" applyFill="1" applyAlignment="1">
      <alignment horizontal="center"/>
    </xf>
    <xf numFmtId="0" fontId="44" fillId="6" borderId="0" xfId="0" applyFont="1" applyFill="1"/>
    <xf numFmtId="0" fontId="52" fillId="6" borderId="0" xfId="0" applyFont="1" applyFill="1"/>
    <xf numFmtId="2" fontId="44" fillId="6" borderId="0" xfId="0" applyNumberFormat="1" applyFont="1" applyFill="1"/>
    <xf numFmtId="2" fontId="39" fillId="13" borderId="0" xfId="0" applyNumberFormat="1" applyFont="1" applyFill="1"/>
    <xf numFmtId="0" fontId="41" fillId="13" borderId="0" xfId="0" applyFont="1" applyFill="1"/>
    <xf numFmtId="0" fontId="53" fillId="6" borderId="0" xfId="0" applyFont="1" applyFill="1" applyAlignment="1">
      <alignment vertical="center"/>
    </xf>
    <xf numFmtId="0" fontId="53" fillId="13" borderId="0" xfId="0" applyFont="1" applyFill="1" applyAlignment="1">
      <alignment vertical="center" wrapText="1"/>
    </xf>
    <xf numFmtId="0" fontId="53" fillId="13" borderId="0" xfId="0" applyFont="1" applyFill="1" applyAlignment="1">
      <alignment horizontal="center" vertical="center"/>
    </xf>
    <xf numFmtId="2" fontId="53" fillId="13" borderId="0" xfId="0" applyNumberFormat="1" applyFont="1" applyFill="1" applyAlignment="1">
      <alignment horizontal="center" vertical="center"/>
    </xf>
    <xf numFmtId="0" fontId="53" fillId="13" borderId="0" xfId="0" applyFont="1" applyFill="1" applyAlignment="1">
      <alignment horizontal="center" vertical="center" wrapText="1"/>
    </xf>
    <xf numFmtId="0" fontId="53" fillId="13" borderId="0" xfId="0" applyFont="1" applyFill="1" applyAlignment="1">
      <alignment horizontal="left" vertical="center" wrapText="1"/>
    </xf>
    <xf numFmtId="0" fontId="53" fillId="13" borderId="0" xfId="0" applyFont="1" applyFill="1" applyAlignment="1">
      <alignment vertical="center"/>
    </xf>
    <xf numFmtId="0" fontId="53" fillId="17" borderId="0" xfId="0" applyFont="1" applyFill="1" applyAlignment="1">
      <alignment vertical="center" wrapText="1"/>
    </xf>
    <xf numFmtId="0" fontId="39" fillId="4" borderId="4" xfId="0" applyFont="1" applyFill="1" applyBorder="1"/>
    <xf numFmtId="9" fontId="39" fillId="4" borderId="4" xfId="0" applyNumberFormat="1" applyFont="1" applyFill="1" applyBorder="1" applyAlignment="1">
      <alignment horizontal="center" vertical="center"/>
    </xf>
    <xf numFmtId="9" fontId="39" fillId="4" borderId="4" xfId="1" applyFont="1" applyFill="1" applyBorder="1" applyAlignment="1">
      <alignment horizontal="center" vertical="center"/>
    </xf>
    <xf numFmtId="9" fontId="39" fillId="4" borderId="4" xfId="1" applyFont="1" applyFill="1" applyBorder="1"/>
    <xf numFmtId="0" fontId="39" fillId="11" borderId="4" xfId="0" applyFont="1" applyFill="1" applyBorder="1"/>
    <xf numFmtId="2" fontId="39" fillId="17" borderId="0" xfId="0" applyNumberFormat="1" applyFont="1" applyFill="1" applyAlignment="1">
      <alignment horizontal="center"/>
    </xf>
    <xf numFmtId="0" fontId="39" fillId="4" borderId="3" xfId="0" applyFont="1" applyFill="1" applyBorder="1"/>
    <xf numFmtId="9" fontId="39" fillId="4" borderId="3" xfId="1" applyFont="1" applyFill="1" applyBorder="1" applyAlignment="1">
      <alignment horizontal="center" vertical="center"/>
    </xf>
    <xf numFmtId="9" fontId="39" fillId="4" borderId="3" xfId="1" applyFont="1" applyFill="1" applyBorder="1"/>
    <xf numFmtId="9" fontId="39" fillId="11" borderId="3" xfId="1" applyFont="1" applyFill="1" applyBorder="1" applyAlignment="1">
      <alignment horizontal="center"/>
    </xf>
    <xf numFmtId="9" fontId="39" fillId="4" borderId="3" xfId="1" applyFont="1" applyFill="1" applyBorder="1" applyAlignment="1">
      <alignment horizontal="center"/>
    </xf>
    <xf numFmtId="0" fontId="39" fillId="11" borderId="3" xfId="0" applyFont="1" applyFill="1" applyBorder="1"/>
    <xf numFmtId="0" fontId="39" fillId="4" borderId="6" xfId="0" applyFont="1" applyFill="1" applyBorder="1"/>
    <xf numFmtId="0" fontId="39" fillId="14" borderId="5" xfId="0" applyFont="1" applyFill="1" applyBorder="1" applyAlignment="1">
      <alignment horizontal="left" wrapText="1"/>
    </xf>
    <xf numFmtId="2" fontId="39" fillId="14" borderId="3" xfId="0" applyNumberFormat="1" applyFont="1" applyFill="1" applyBorder="1" applyAlignment="1">
      <alignment horizontal="center" vertical="center"/>
    </xf>
    <xf numFmtId="0" fontId="39" fillId="14" borderId="3" xfId="0" applyFont="1" applyFill="1" applyBorder="1" applyAlignment="1">
      <alignment horizontal="center" vertical="center"/>
    </xf>
    <xf numFmtId="0" fontId="39" fillId="4" borderId="5" xfId="0" applyFont="1" applyFill="1" applyBorder="1" applyAlignment="1">
      <alignment horizontal="left" wrapText="1"/>
    </xf>
    <xf numFmtId="2" fontId="39" fillId="4" borderId="3" xfId="0" applyNumberFormat="1" applyFont="1" applyFill="1" applyBorder="1" applyAlignment="1">
      <alignment horizontal="center" vertical="center"/>
    </xf>
    <xf numFmtId="9" fontId="39" fillId="4" borderId="3" xfId="0" applyNumberFormat="1" applyFont="1" applyFill="1" applyBorder="1" applyAlignment="1">
      <alignment horizontal="center" vertical="center"/>
    </xf>
    <xf numFmtId="0" fontId="39" fillId="14" borderId="5" xfId="0" applyFont="1" applyFill="1" applyBorder="1" applyAlignment="1">
      <alignment horizontal="left" vertical="top" wrapText="1"/>
    </xf>
    <xf numFmtId="2" fontId="39" fillId="14" borderId="0" xfId="0" applyNumberFormat="1" applyFont="1" applyFill="1" applyAlignment="1">
      <alignment horizontal="center" vertical="center"/>
    </xf>
    <xf numFmtId="2" fontId="39" fillId="0" borderId="0" xfId="0" applyNumberFormat="1" applyFont="1"/>
    <xf numFmtId="167" fontId="39" fillId="0" borderId="0" xfId="0" applyNumberFormat="1" applyFont="1"/>
    <xf numFmtId="20" fontId="39" fillId="0" borderId="0" xfId="0" applyNumberFormat="1" applyFont="1"/>
    <xf numFmtId="0" fontId="54" fillId="0" borderId="0" xfId="0" applyFont="1" applyAlignment="1">
      <alignment horizontal="center"/>
    </xf>
    <xf numFmtId="0" fontId="54" fillId="0" borderId="0" xfId="0" applyFont="1"/>
    <xf numFmtId="2" fontId="39" fillId="0" borderId="0" xfId="0" applyNumberFormat="1" applyFont="1" applyAlignment="1">
      <alignment horizontal="center"/>
    </xf>
    <xf numFmtId="0" fontId="39" fillId="0" borderId="0" xfId="0" applyFont="1" applyAlignment="1">
      <alignment horizontal="center"/>
    </xf>
    <xf numFmtId="0" fontId="39" fillId="5" borderId="0" xfId="0" applyFont="1" applyFill="1"/>
    <xf numFmtId="2" fontId="41" fillId="5" borderId="0" xfId="0" applyNumberFormat="1" applyFont="1" applyFill="1" applyAlignment="1">
      <alignment horizontal="center"/>
    </xf>
    <xf numFmtId="0" fontId="39" fillId="5" borderId="0" xfId="0" applyFont="1" applyFill="1" applyAlignment="1">
      <alignment horizontal="center"/>
    </xf>
    <xf numFmtId="0" fontId="41" fillId="5" borderId="0" xfId="0" applyFont="1" applyFill="1"/>
    <xf numFmtId="0" fontId="41" fillId="5" borderId="0" xfId="0" applyFont="1" applyFill="1" applyAlignment="1">
      <alignment horizontal="center"/>
    </xf>
    <xf numFmtId="0" fontId="55" fillId="0" borderId="0" xfId="4" applyFont="1" applyFill="1"/>
    <xf numFmtId="0" fontId="14" fillId="9" borderId="0" xfId="5" applyFill="1"/>
    <xf numFmtId="0" fontId="14" fillId="11" borderId="0" xfId="5" applyFill="1"/>
    <xf numFmtId="0" fontId="14" fillId="4" borderId="0" xfId="5" applyFill="1"/>
    <xf numFmtId="0" fontId="14" fillId="12" borderId="0" xfId="5" applyFill="1"/>
    <xf numFmtId="0" fontId="14" fillId="10" borderId="0" xfId="5" applyFill="1"/>
    <xf numFmtId="0" fontId="49" fillId="0" borderId="0" xfId="5" applyFont="1"/>
    <xf numFmtId="0" fontId="56" fillId="0" borderId="0" xfId="5" applyFont="1" applyAlignment="1">
      <alignment horizontal="center" wrapText="1"/>
    </xf>
    <xf numFmtId="0" fontId="13" fillId="0" borderId="0" xfId="5" applyFont="1" applyAlignment="1">
      <alignment horizontal="center" wrapText="1"/>
    </xf>
    <xf numFmtId="0" fontId="14" fillId="0" borderId="0" xfId="5" applyAlignment="1">
      <alignment horizontal="center"/>
    </xf>
    <xf numFmtId="0" fontId="15" fillId="8" borderId="0" xfId="6" applyFill="1"/>
    <xf numFmtId="9" fontId="14" fillId="6" borderId="0" xfId="5" applyNumberFormat="1" applyFill="1" applyAlignment="1">
      <alignment horizontal="center"/>
    </xf>
    <xf numFmtId="0" fontId="14" fillId="6" borderId="0" xfId="5" applyFill="1" applyAlignment="1">
      <alignment horizontal="center"/>
    </xf>
    <xf numFmtId="2" fontId="14" fillId="6" borderId="0" xfId="5" applyNumberFormat="1" applyFill="1" applyAlignment="1">
      <alignment horizontal="center"/>
    </xf>
    <xf numFmtId="3" fontId="14" fillId="6" borderId="0" xfId="5" applyNumberFormat="1" applyFill="1" applyAlignment="1">
      <alignment horizontal="center"/>
    </xf>
    <xf numFmtId="9" fontId="14" fillId="7" borderId="0" xfId="5" applyNumberFormat="1" applyFill="1" applyAlignment="1">
      <alignment horizontal="center"/>
    </xf>
    <xf numFmtId="0" fontId="14" fillId="7" borderId="0" xfId="5" applyFill="1" applyAlignment="1">
      <alignment horizontal="center"/>
    </xf>
    <xf numFmtId="2" fontId="14" fillId="7" borderId="0" xfId="5" applyNumberFormat="1" applyFill="1" applyAlignment="1">
      <alignment horizontal="center"/>
    </xf>
    <xf numFmtId="3" fontId="14" fillId="7" borderId="0" xfId="5" applyNumberFormat="1" applyFill="1" applyAlignment="1">
      <alignment horizontal="center"/>
    </xf>
    <xf numFmtId="9" fontId="14" fillId="8" borderId="0" xfId="5" applyNumberFormat="1" applyFill="1" applyAlignment="1">
      <alignment horizontal="center"/>
    </xf>
    <xf numFmtId="9" fontId="14" fillId="8" borderId="0" xfId="7" applyFont="1" applyFill="1" applyAlignment="1">
      <alignment horizontal="center"/>
    </xf>
    <xf numFmtId="0" fontId="14" fillId="8" borderId="0" xfId="5" applyFill="1" applyAlignment="1">
      <alignment horizontal="center"/>
    </xf>
    <xf numFmtId="2" fontId="14" fillId="8" borderId="0" xfId="5" applyNumberFormat="1" applyFill="1" applyAlignment="1">
      <alignment horizontal="center"/>
    </xf>
    <xf numFmtId="9" fontId="14" fillId="9" borderId="0" xfId="5" applyNumberFormat="1" applyFill="1" applyAlignment="1">
      <alignment horizontal="center"/>
    </xf>
    <xf numFmtId="9" fontId="14" fillId="9" borderId="0" xfId="7" applyFont="1" applyFill="1" applyAlignment="1">
      <alignment horizontal="center"/>
    </xf>
    <xf numFmtId="0" fontId="14" fillId="9" borderId="0" xfId="5" applyFill="1" applyAlignment="1">
      <alignment horizontal="center"/>
    </xf>
    <xf numFmtId="2" fontId="14" fillId="9" borderId="0" xfId="5" applyNumberFormat="1" applyFill="1" applyAlignment="1">
      <alignment horizontal="center"/>
    </xf>
    <xf numFmtId="9" fontId="14" fillId="10" borderId="0" xfId="5" applyNumberFormat="1" applyFill="1" applyAlignment="1">
      <alignment horizontal="center"/>
    </xf>
    <xf numFmtId="9" fontId="17" fillId="10" borderId="0" xfId="5" applyNumberFormat="1" applyFont="1" applyFill="1" applyAlignment="1">
      <alignment horizontal="center"/>
    </xf>
    <xf numFmtId="0" fontId="16" fillId="10" borderId="0" xfId="5" applyFont="1" applyFill="1" applyAlignment="1">
      <alignment horizontal="center"/>
    </xf>
    <xf numFmtId="2" fontId="14" fillId="10" borderId="0" xfId="5" applyNumberFormat="1" applyFill="1" applyAlignment="1">
      <alignment horizontal="center"/>
    </xf>
    <xf numFmtId="3" fontId="17" fillId="10" borderId="0" xfId="5" applyNumberFormat="1" applyFont="1" applyFill="1" applyAlignment="1">
      <alignment horizontal="center"/>
    </xf>
    <xf numFmtId="0" fontId="15" fillId="6" borderId="0" xfId="6" applyFill="1"/>
    <xf numFmtId="0" fontId="15" fillId="9" borderId="0" xfId="6" applyFill="1"/>
    <xf numFmtId="0" fontId="15" fillId="11" borderId="0" xfId="6" applyFill="1"/>
    <xf numFmtId="0" fontId="15" fillId="4" borderId="0" xfId="6" applyFill="1"/>
    <xf numFmtId="0" fontId="15" fillId="12" borderId="0" xfId="6" applyFill="1"/>
    <xf numFmtId="0" fontId="15" fillId="10" borderId="0" xfId="6" applyFill="1"/>
    <xf numFmtId="9" fontId="14" fillId="11" borderId="0" xfId="5" applyNumberFormat="1" applyFill="1" applyAlignment="1">
      <alignment horizontal="center"/>
    </xf>
    <xf numFmtId="0" fontId="14" fillId="11" borderId="0" xfId="5" applyFill="1" applyAlignment="1">
      <alignment horizontal="center"/>
    </xf>
    <xf numFmtId="2" fontId="14" fillId="11" borderId="0" xfId="5" applyNumberFormat="1" applyFill="1" applyAlignment="1">
      <alignment horizontal="center"/>
    </xf>
    <xf numFmtId="3" fontId="14" fillId="12" borderId="0" xfId="5" applyNumberFormat="1" applyFill="1"/>
    <xf numFmtId="9" fontId="14" fillId="4" borderId="0" xfId="5" applyNumberFormat="1" applyFill="1" applyAlignment="1">
      <alignment horizontal="center"/>
    </xf>
    <xf numFmtId="0" fontId="14" fillId="4" borderId="0" xfId="5" applyFill="1" applyAlignment="1">
      <alignment horizontal="center"/>
    </xf>
    <xf numFmtId="2" fontId="14" fillId="4" borderId="0" xfId="5" applyNumberFormat="1" applyFill="1" applyAlignment="1">
      <alignment horizontal="center"/>
    </xf>
    <xf numFmtId="9" fontId="14" fillId="12" borderId="0" xfId="5" applyNumberFormat="1" applyFill="1" applyAlignment="1">
      <alignment horizontal="center"/>
    </xf>
    <xf numFmtId="0" fontId="14" fillId="12" borderId="0" xfId="5" applyFill="1" applyAlignment="1">
      <alignment horizontal="center"/>
    </xf>
    <xf numFmtId="2" fontId="14" fillId="12" borderId="0" xfId="5" applyNumberFormat="1" applyFill="1" applyAlignment="1">
      <alignment horizontal="center"/>
    </xf>
    <xf numFmtId="0" fontId="57" fillId="9" borderId="0" xfId="5" applyFont="1" applyFill="1" applyAlignment="1">
      <alignment vertical="center"/>
    </xf>
    <xf numFmtId="2" fontId="14" fillId="0" borderId="0" xfId="5" applyNumberFormat="1"/>
    <xf numFmtId="0" fontId="48" fillId="4" borderId="0" xfId="3" applyFont="1" applyFill="1"/>
    <xf numFmtId="0" fontId="48" fillId="12" borderId="0" xfId="3" applyFont="1" applyFill="1"/>
    <xf numFmtId="9" fontId="39" fillId="10" borderId="0" xfId="7" applyFont="1" applyFill="1"/>
    <xf numFmtId="0" fontId="17" fillId="0" borderId="0" xfId="5" applyFont="1" applyAlignment="1">
      <alignment horizontal="center"/>
    </xf>
    <xf numFmtId="0" fontId="14" fillId="0" borderId="0" xfId="5" applyAlignment="1">
      <alignment horizontal="center" wrapText="1"/>
    </xf>
    <xf numFmtId="9" fontId="17" fillId="6" borderId="0" xfId="7" applyFont="1" applyFill="1" applyAlignment="1">
      <alignment horizontal="center"/>
    </xf>
    <xf numFmtId="0" fontId="17" fillId="6" borderId="0" xfId="5" applyFont="1" applyFill="1" applyAlignment="1">
      <alignment horizontal="center"/>
    </xf>
    <xf numFmtId="2" fontId="17" fillId="6" borderId="0" xfId="5" applyNumberFormat="1" applyFont="1" applyFill="1" applyAlignment="1">
      <alignment horizontal="center"/>
    </xf>
    <xf numFmtId="3" fontId="17" fillId="6" borderId="0" xfId="5" applyNumberFormat="1" applyFont="1" applyFill="1" applyAlignment="1">
      <alignment horizontal="center"/>
    </xf>
    <xf numFmtId="0" fontId="14" fillId="4" borderId="0" xfId="5" applyFill="1" applyAlignment="1">
      <alignment wrapText="1"/>
    </xf>
    <xf numFmtId="0" fontId="14" fillId="12" borderId="0" xfId="5" applyFill="1" applyAlignment="1">
      <alignment wrapText="1"/>
    </xf>
    <xf numFmtId="9" fontId="17" fillId="7" borderId="0" xfId="7" applyFont="1" applyFill="1" applyAlignment="1">
      <alignment horizontal="center"/>
    </xf>
    <xf numFmtId="0" fontId="16" fillId="7" borderId="0" xfId="5" applyFont="1" applyFill="1" applyAlignment="1">
      <alignment horizontal="center"/>
    </xf>
    <xf numFmtId="2" fontId="17" fillId="7" borderId="0" xfId="5" applyNumberFormat="1" applyFont="1" applyFill="1" applyAlignment="1">
      <alignment horizontal="center"/>
    </xf>
    <xf numFmtId="3" fontId="17" fillId="7" borderId="0" xfId="5" applyNumberFormat="1" applyFont="1" applyFill="1" applyAlignment="1">
      <alignment horizontal="center"/>
    </xf>
    <xf numFmtId="168" fontId="39" fillId="4" borderId="0" xfId="7" applyNumberFormat="1" applyFont="1" applyFill="1"/>
    <xf numFmtId="9" fontId="39" fillId="4" borderId="0" xfId="7" applyFont="1" applyFill="1"/>
    <xf numFmtId="10" fontId="39" fillId="12" borderId="0" xfId="7" applyNumberFormat="1" applyFont="1" applyFill="1"/>
    <xf numFmtId="9" fontId="39" fillId="12" borderId="0" xfId="7" applyFont="1" applyFill="1"/>
    <xf numFmtId="9" fontId="17" fillId="8" borderId="0" xfId="7" applyFont="1" applyFill="1" applyAlignment="1">
      <alignment horizontal="center"/>
    </xf>
    <xf numFmtId="0" fontId="16" fillId="8" borderId="0" xfId="5" applyFont="1" applyFill="1" applyAlignment="1">
      <alignment horizontal="center"/>
    </xf>
    <xf numFmtId="2" fontId="17" fillId="8" borderId="0" xfId="5" applyNumberFormat="1" applyFont="1" applyFill="1" applyAlignment="1">
      <alignment horizontal="center"/>
    </xf>
    <xf numFmtId="0" fontId="17" fillId="8" borderId="0" xfId="5" applyFont="1" applyFill="1" applyAlignment="1">
      <alignment horizontal="center"/>
    </xf>
    <xf numFmtId="168" fontId="39" fillId="11" borderId="0" xfId="7" applyNumberFormat="1" applyFont="1" applyFill="1"/>
    <xf numFmtId="9" fontId="39" fillId="11" borderId="0" xfId="7" applyFont="1" applyFill="1"/>
    <xf numFmtId="168" fontId="39" fillId="12" borderId="0" xfId="7" applyNumberFormat="1" applyFont="1" applyFill="1"/>
    <xf numFmtId="9" fontId="17" fillId="9" borderId="0" xfId="7" applyFont="1" applyFill="1" applyAlignment="1">
      <alignment horizontal="center"/>
    </xf>
    <xf numFmtId="0" fontId="16" fillId="9" borderId="0" xfId="5" applyFont="1" applyFill="1" applyAlignment="1">
      <alignment horizontal="center"/>
    </xf>
    <xf numFmtId="2" fontId="17" fillId="9" borderId="0" xfId="5" applyNumberFormat="1" applyFont="1" applyFill="1" applyAlignment="1">
      <alignment horizontal="center"/>
    </xf>
    <xf numFmtId="3" fontId="17" fillId="9" borderId="0" xfId="5" applyNumberFormat="1" applyFont="1" applyFill="1" applyAlignment="1">
      <alignment horizontal="center"/>
    </xf>
    <xf numFmtId="3" fontId="14" fillId="4" borderId="0" xfId="5" applyNumberFormat="1" applyFill="1"/>
    <xf numFmtId="9" fontId="17" fillId="10" borderId="0" xfId="7" applyFont="1" applyFill="1" applyAlignment="1">
      <alignment horizontal="center"/>
    </xf>
    <xf numFmtId="0" fontId="14" fillId="10" borderId="0" xfId="5" applyFill="1" applyAlignment="1">
      <alignment horizontal="center"/>
    </xf>
    <xf numFmtId="2" fontId="17" fillId="10" borderId="0" xfId="5" applyNumberFormat="1" applyFont="1" applyFill="1" applyAlignment="1">
      <alignment horizontal="center"/>
    </xf>
    <xf numFmtId="1" fontId="14" fillId="10" borderId="0" xfId="5" applyNumberFormat="1" applyFill="1" applyAlignment="1">
      <alignment horizontal="center"/>
    </xf>
    <xf numFmtId="3" fontId="14" fillId="0" borderId="0" xfId="5" applyNumberFormat="1" applyAlignment="1">
      <alignment horizontal="center"/>
    </xf>
    <xf numFmtId="3" fontId="14" fillId="11" borderId="0" xfId="5" applyNumberFormat="1" applyFill="1"/>
    <xf numFmtId="9" fontId="14" fillId="12" borderId="0" xfId="5" applyNumberFormat="1" applyFill="1"/>
    <xf numFmtId="9" fontId="17" fillId="11" borderId="0" xfId="7" applyFont="1" applyFill="1" applyAlignment="1">
      <alignment horizontal="center"/>
    </xf>
    <xf numFmtId="2" fontId="17" fillId="11" borderId="0" xfId="5" applyNumberFormat="1" applyFont="1" applyFill="1" applyAlignment="1">
      <alignment horizontal="center"/>
    </xf>
    <xf numFmtId="1" fontId="14" fillId="11" borderId="0" xfId="5" applyNumberFormat="1" applyFill="1" applyAlignment="1">
      <alignment horizontal="center"/>
    </xf>
    <xf numFmtId="9" fontId="17" fillId="4" borderId="0" xfId="7" applyFont="1" applyFill="1" applyAlignment="1">
      <alignment horizontal="center"/>
    </xf>
    <xf numFmtId="0" fontId="16" fillId="4" borderId="0" xfId="5" applyFont="1" applyFill="1" applyAlignment="1">
      <alignment horizontal="center"/>
    </xf>
    <xf numFmtId="2" fontId="17" fillId="4" borderId="0" xfId="5" applyNumberFormat="1" applyFont="1" applyFill="1" applyAlignment="1">
      <alignment horizontal="center"/>
    </xf>
    <xf numFmtId="1" fontId="14" fillId="4" borderId="0" xfId="5" applyNumberFormat="1" applyFill="1" applyAlignment="1">
      <alignment horizontal="center"/>
    </xf>
    <xf numFmtId="9" fontId="39" fillId="9" borderId="0" xfId="7" applyFont="1" applyFill="1"/>
    <xf numFmtId="9" fontId="17" fillId="12" borderId="0" xfId="7" applyFont="1" applyFill="1" applyAlignment="1">
      <alignment horizontal="center"/>
    </xf>
    <xf numFmtId="2" fontId="17" fillId="12" borderId="0" xfId="5" applyNumberFormat="1" applyFont="1" applyFill="1" applyAlignment="1">
      <alignment horizontal="center"/>
    </xf>
    <xf numFmtId="1" fontId="14" fillId="12" borderId="0" xfId="5" applyNumberFormat="1" applyFill="1" applyAlignment="1">
      <alignment horizontal="center"/>
    </xf>
    <xf numFmtId="2" fontId="14" fillId="0" borderId="0" xfId="5" applyNumberFormat="1" applyAlignment="1">
      <alignment horizontal="center"/>
    </xf>
    <xf numFmtId="0" fontId="58" fillId="7" borderId="0" xfId="5" applyFont="1" applyFill="1"/>
    <xf numFmtId="0" fontId="15" fillId="7" borderId="0" xfId="6" applyFill="1"/>
    <xf numFmtId="3" fontId="14" fillId="7" borderId="0" xfId="5" applyNumberFormat="1" applyFill="1"/>
    <xf numFmtId="0" fontId="41" fillId="0" borderId="0" xfId="5" applyFont="1" applyAlignment="1">
      <alignment horizontal="right" wrapText="1"/>
    </xf>
    <xf numFmtId="0" fontId="49" fillId="0" borderId="0" xfId="5" applyFont="1" applyAlignment="1">
      <alignment horizontal="right" wrapText="1"/>
    </xf>
    <xf numFmtId="9" fontId="39" fillId="7" borderId="0" xfId="7" applyFont="1" applyFill="1"/>
    <xf numFmtId="9" fontId="39" fillId="6" borderId="0" xfId="7" applyFont="1" applyFill="1"/>
    <xf numFmtId="2" fontId="14" fillId="6" borderId="0" xfId="5" applyNumberFormat="1" applyFill="1"/>
    <xf numFmtId="2" fontId="14" fillId="7" borderId="0" xfId="5" applyNumberFormat="1" applyFill="1"/>
    <xf numFmtId="9" fontId="14" fillId="9" borderId="0" xfId="5" applyNumberFormat="1" applyFill="1"/>
    <xf numFmtId="9" fontId="39" fillId="8" borderId="0" xfId="7" applyFont="1" applyFill="1"/>
    <xf numFmtId="2" fontId="14" fillId="8" borderId="0" xfId="5" applyNumberFormat="1" applyFill="1"/>
    <xf numFmtId="3" fontId="14" fillId="6" borderId="0" xfId="5" applyNumberFormat="1" applyFill="1"/>
    <xf numFmtId="2" fontId="14" fillId="9" borderId="0" xfId="5" applyNumberFormat="1" applyFill="1"/>
    <xf numFmtId="9" fontId="14" fillId="7" borderId="0" xfId="5" applyNumberFormat="1" applyFill="1"/>
    <xf numFmtId="2" fontId="14" fillId="10" borderId="0" xfId="5" applyNumberFormat="1" applyFill="1"/>
    <xf numFmtId="2" fontId="14" fillId="11" borderId="0" xfId="5" applyNumberFormat="1" applyFill="1"/>
    <xf numFmtId="2" fontId="14" fillId="4" borderId="0" xfId="5" applyNumberFormat="1" applyFill="1"/>
    <xf numFmtId="2" fontId="14" fillId="12" borderId="0" xfId="5" applyNumberFormat="1" applyFill="1"/>
    <xf numFmtId="0" fontId="14" fillId="11" borderId="0" xfId="5" applyFill="1" applyAlignment="1">
      <alignment wrapText="1"/>
    </xf>
    <xf numFmtId="9" fontId="14" fillId="11" borderId="0" xfId="5" applyNumberFormat="1" applyFill="1"/>
    <xf numFmtId="1" fontId="14" fillId="0" borderId="0" xfId="5" applyNumberFormat="1"/>
    <xf numFmtId="3" fontId="14" fillId="0" borderId="0" xfId="5" applyNumberFormat="1"/>
    <xf numFmtId="10" fontId="39" fillId="11" borderId="0" xfId="7" applyNumberFormat="1" applyFont="1" applyFill="1"/>
    <xf numFmtId="10" fontId="39" fillId="4" borderId="0" xfId="7" applyNumberFormat="1" applyFont="1" applyFill="1"/>
    <xf numFmtId="10" fontId="14" fillId="7" borderId="0" xfId="5" applyNumberFormat="1" applyFill="1"/>
    <xf numFmtId="9" fontId="39" fillId="0" borderId="0" xfId="7" applyFont="1" applyFill="1"/>
    <xf numFmtId="168" fontId="14" fillId="11" borderId="0" xfId="5" applyNumberFormat="1" applyFill="1"/>
    <xf numFmtId="10" fontId="14" fillId="6" borderId="0" xfId="5" applyNumberFormat="1" applyFill="1"/>
    <xf numFmtId="0" fontId="41" fillId="0" borderId="0" xfId="5" applyFont="1" applyAlignment="1">
      <alignment horizontal="center" wrapText="1"/>
    </xf>
    <xf numFmtId="0" fontId="49" fillId="0" borderId="0" xfId="5" applyFont="1" applyAlignment="1">
      <alignment horizontal="center" wrapText="1"/>
    </xf>
    <xf numFmtId="9" fontId="39" fillId="6" borderId="0" xfId="7" applyFont="1" applyFill="1" applyAlignment="1">
      <alignment horizontal="center"/>
    </xf>
    <xf numFmtId="9" fontId="39" fillId="7" borderId="0" xfId="7" applyFont="1" applyFill="1" applyAlignment="1">
      <alignment horizontal="center"/>
    </xf>
    <xf numFmtId="9" fontId="39" fillId="8" borderId="0" xfId="7" applyFont="1" applyFill="1" applyAlignment="1">
      <alignment horizontal="center"/>
    </xf>
    <xf numFmtId="9" fontId="39" fillId="9" borderId="0" xfId="7" applyFont="1" applyFill="1" applyAlignment="1">
      <alignment horizontal="center"/>
    </xf>
    <xf numFmtId="9" fontId="39" fillId="10" borderId="0" xfId="7" applyFont="1" applyFill="1" applyAlignment="1">
      <alignment horizontal="center"/>
    </xf>
    <xf numFmtId="9" fontId="39" fillId="11" borderId="0" xfId="7" applyFont="1" applyFill="1" applyAlignment="1">
      <alignment horizontal="center"/>
    </xf>
    <xf numFmtId="9" fontId="39" fillId="4" borderId="0" xfId="7" applyFont="1" applyFill="1" applyAlignment="1">
      <alignment horizontal="center"/>
    </xf>
    <xf numFmtId="9" fontId="39" fillId="12" borderId="0" xfId="7" applyFont="1" applyFill="1" applyAlignment="1">
      <alignment horizontal="center"/>
    </xf>
    <xf numFmtId="9" fontId="42" fillId="6" borderId="0" xfId="7" applyFont="1" applyFill="1" applyAlignment="1">
      <alignment horizontal="center"/>
    </xf>
    <xf numFmtId="9" fontId="42" fillId="7" borderId="0" xfId="7" applyFont="1" applyFill="1" applyAlignment="1">
      <alignment horizontal="center"/>
    </xf>
    <xf numFmtId="9" fontId="42" fillId="8" borderId="0" xfId="7" applyFont="1" applyFill="1" applyAlignment="1">
      <alignment horizontal="center"/>
    </xf>
    <xf numFmtId="9" fontId="42" fillId="9" borderId="0" xfId="7" applyFont="1" applyFill="1" applyAlignment="1">
      <alignment horizontal="center"/>
    </xf>
    <xf numFmtId="9" fontId="42" fillId="10" borderId="0" xfId="7" applyFont="1" applyFill="1" applyAlignment="1">
      <alignment horizontal="center"/>
    </xf>
    <xf numFmtId="9" fontId="42" fillId="11" borderId="0" xfId="7" applyFont="1" applyFill="1" applyAlignment="1">
      <alignment horizontal="center"/>
    </xf>
    <xf numFmtId="9" fontId="42" fillId="4" borderId="0" xfId="7" applyFont="1" applyFill="1" applyAlignment="1">
      <alignment horizontal="center"/>
    </xf>
    <xf numFmtId="9" fontId="42" fillId="12" borderId="0" xfId="7" applyFont="1" applyFill="1" applyAlignment="1">
      <alignment horizontal="center"/>
    </xf>
    <xf numFmtId="0" fontId="41" fillId="0" borderId="0" xfId="0" applyFont="1" applyAlignment="1">
      <alignment wrapText="1"/>
    </xf>
    <xf numFmtId="9" fontId="39" fillId="0" borderId="0" xfId="0" applyNumberFormat="1" applyFont="1" applyAlignment="1">
      <alignment horizontal="center"/>
    </xf>
    <xf numFmtId="2" fontId="39" fillId="0" borderId="0" xfId="0" applyNumberFormat="1" applyFont="1" applyAlignment="1">
      <alignment horizontal="center" vertical="center"/>
    </xf>
    <xf numFmtId="0" fontId="39" fillId="0" borderId="0" xfId="0" applyFont="1" applyAlignment="1">
      <alignment horizontal="center" vertical="center"/>
    </xf>
    <xf numFmtId="9" fontId="39" fillId="0" borderId="0" xfId="1" applyFont="1" applyAlignment="1">
      <alignment horizontal="center"/>
    </xf>
    <xf numFmtId="0" fontId="14" fillId="7" borderId="0" xfId="5" applyFill="1" applyAlignment="1">
      <alignment wrapText="1"/>
    </xf>
    <xf numFmtId="0" fontId="59" fillId="15" borderId="0" xfId="0" applyFont="1" applyFill="1"/>
    <xf numFmtId="0" fontId="44" fillId="13" borderId="0" xfId="0" applyFont="1" applyFill="1"/>
    <xf numFmtId="0" fontId="39" fillId="13" borderId="0" xfId="0" applyFont="1" applyFill="1" applyAlignment="1">
      <alignment horizontal="center"/>
    </xf>
    <xf numFmtId="0" fontId="51" fillId="13" borderId="0" xfId="0" applyFont="1" applyFill="1"/>
    <xf numFmtId="0" fontId="41" fillId="13" borderId="0" xfId="0" applyFont="1" applyFill="1" applyAlignment="1">
      <alignment horizontal="center"/>
    </xf>
    <xf numFmtId="0" fontId="39" fillId="13" borderId="0" xfId="0" applyFont="1" applyFill="1" applyAlignment="1">
      <alignment horizontal="center" vertical="center"/>
    </xf>
    <xf numFmtId="0" fontId="32" fillId="13" borderId="0" xfId="0" applyFont="1" applyFill="1"/>
    <xf numFmtId="0" fontId="62" fillId="13" borderId="0" xfId="0" applyFont="1" applyFill="1"/>
    <xf numFmtId="0" fontId="61" fillId="15" borderId="0" xfId="0" applyFont="1" applyFill="1"/>
    <xf numFmtId="0" fontId="53" fillId="13" borderId="0" xfId="0" applyFont="1" applyFill="1"/>
    <xf numFmtId="0" fontId="44" fillId="13" borderId="0" xfId="0" applyFont="1" applyFill="1" applyAlignment="1">
      <alignment horizontal="left"/>
    </xf>
    <xf numFmtId="0" fontId="64" fillId="13" borderId="0" xfId="0" applyFont="1" applyFill="1"/>
    <xf numFmtId="0" fontId="9" fillId="13" borderId="0" xfId="0" applyFont="1" applyFill="1"/>
    <xf numFmtId="0" fontId="65" fillId="13" borderId="0" xfId="3" applyFont="1" applyFill="1"/>
    <xf numFmtId="9" fontId="44" fillId="13" borderId="0" xfId="1" applyFont="1" applyFill="1" applyAlignment="1">
      <alignment horizontal="center"/>
    </xf>
    <xf numFmtId="2" fontId="44" fillId="13" borderId="0" xfId="0" applyNumberFormat="1" applyFont="1" applyFill="1"/>
    <xf numFmtId="9" fontId="44" fillId="13" borderId="0" xfId="1" applyFont="1" applyFill="1"/>
    <xf numFmtId="9" fontId="44" fillId="13" borderId="0" xfId="0" applyNumberFormat="1" applyFont="1" applyFill="1"/>
    <xf numFmtId="0" fontId="66" fillId="13" borderId="0" xfId="0" applyFont="1" applyFill="1"/>
    <xf numFmtId="0" fontId="39" fillId="4" borderId="3" xfId="0" applyFont="1" applyFill="1" applyBorder="1" applyAlignment="1">
      <alignment wrapText="1"/>
    </xf>
    <xf numFmtId="0" fontId="39" fillId="16" borderId="0" xfId="0" applyFont="1" applyFill="1" applyAlignment="1">
      <alignment horizontal="right"/>
    </xf>
    <xf numFmtId="0" fontId="39" fillId="16" borderId="17" xfId="0" applyFont="1" applyFill="1" applyBorder="1" applyAlignment="1">
      <alignment horizontal="right"/>
    </xf>
    <xf numFmtId="0" fontId="41" fillId="9" borderId="0" xfId="0" applyFont="1" applyFill="1" applyAlignment="1">
      <alignment horizontal="right" wrapText="1"/>
    </xf>
    <xf numFmtId="9" fontId="17" fillId="11" borderId="0" xfId="7" applyFont="1" applyFill="1"/>
    <xf numFmtId="0" fontId="44" fillId="15" borderId="0" xfId="0" applyFont="1" applyFill="1"/>
    <xf numFmtId="0" fontId="67" fillId="15" borderId="0" xfId="0" applyFont="1" applyFill="1"/>
    <xf numFmtId="0" fontId="65" fillId="15" borderId="0" xfId="3" applyFont="1" applyFill="1"/>
    <xf numFmtId="0" fontId="43" fillId="0" borderId="0" xfId="0" applyFont="1" applyAlignment="1">
      <alignment horizontal="right"/>
    </xf>
    <xf numFmtId="0" fontId="24" fillId="17" borderId="0" xfId="0" applyFont="1" applyFill="1"/>
    <xf numFmtId="165" fontId="24" fillId="17" borderId="0" xfId="0" applyNumberFormat="1" applyFont="1" applyFill="1"/>
    <xf numFmtId="0" fontId="27" fillId="17" borderId="0" xfId="0" applyFont="1" applyFill="1" applyAlignment="1">
      <alignment wrapText="1"/>
    </xf>
    <xf numFmtId="0" fontId="0" fillId="18" borderId="0" xfId="0" applyFill="1"/>
    <xf numFmtId="0" fontId="3" fillId="18" borderId="0" xfId="0" applyFont="1" applyFill="1"/>
    <xf numFmtId="0" fontId="4" fillId="18" borderId="0" xfId="0" applyFont="1" applyFill="1"/>
    <xf numFmtId="0" fontId="8" fillId="18" borderId="0" xfId="0" applyFont="1" applyFill="1"/>
    <xf numFmtId="0" fontId="7" fillId="18" borderId="0" xfId="3" applyFill="1"/>
    <xf numFmtId="0" fontId="7" fillId="18" borderId="0" xfId="3" applyFill="1" applyAlignment="1">
      <alignment vertical="center"/>
    </xf>
    <xf numFmtId="0" fontId="51" fillId="15" borderId="0" xfId="0" applyFont="1" applyFill="1"/>
    <xf numFmtId="0" fontId="68" fillId="0" borderId="0" xfId="0" applyFont="1"/>
    <xf numFmtId="0" fontId="40" fillId="0" borderId="19" xfId="0" applyFont="1" applyBorder="1" applyAlignment="1">
      <alignment horizontal="center" vertical="center" wrapText="1"/>
    </xf>
    <xf numFmtId="9" fontId="42" fillId="0" borderId="22" xfId="0" applyNumberFormat="1" applyFont="1" applyBorder="1"/>
    <xf numFmtId="9" fontId="47" fillId="0" borderId="0" xfId="1" applyFont="1" applyFill="1" applyBorder="1" applyAlignment="1">
      <alignment horizontal="center" vertical="center"/>
    </xf>
    <xf numFmtId="0" fontId="69" fillId="0" borderId="0" xfId="0" applyFont="1"/>
    <xf numFmtId="0" fontId="70" fillId="0" borderId="0" xfId="0" applyFont="1" applyAlignment="1">
      <alignment horizontal="center" vertical="center" wrapText="1"/>
    </xf>
    <xf numFmtId="0" fontId="71" fillId="0" borderId="0" xfId="0" applyFont="1" applyAlignment="1">
      <alignment horizontal="center" vertical="center" wrapText="1"/>
    </xf>
    <xf numFmtId="166" fontId="39" fillId="7" borderId="15" xfId="2" applyNumberFormat="1" applyFont="1" applyFill="1" applyBorder="1" applyAlignment="1" applyProtection="1">
      <alignment horizontal="center" vertical="center"/>
      <protection locked="0"/>
    </xf>
    <xf numFmtId="166" fontId="39" fillId="7" borderId="24" xfId="2" applyNumberFormat="1" applyFont="1" applyFill="1" applyBorder="1" applyAlignment="1" applyProtection="1">
      <alignment horizontal="center" vertical="center"/>
      <protection locked="0"/>
    </xf>
    <xf numFmtId="166" fontId="39" fillId="7" borderId="14" xfId="2" applyNumberFormat="1" applyFont="1" applyFill="1" applyBorder="1" applyAlignment="1" applyProtection="1">
      <alignment horizontal="center" vertical="center"/>
      <protection locked="0"/>
    </xf>
    <xf numFmtId="166" fontId="39" fillId="7" borderId="0" xfId="2" applyNumberFormat="1" applyFont="1" applyFill="1" applyBorder="1" applyAlignment="1" applyProtection="1">
      <alignment horizontal="center" vertical="center"/>
      <protection locked="0"/>
    </xf>
    <xf numFmtId="166" fontId="39" fillId="7" borderId="26" xfId="2" applyNumberFormat="1" applyFont="1" applyFill="1" applyBorder="1" applyAlignment="1" applyProtection="1">
      <alignment horizontal="center" vertical="center"/>
      <protection locked="0"/>
    </xf>
    <xf numFmtId="166" fontId="39" fillId="0" borderId="15" xfId="2" applyNumberFormat="1" applyFont="1" applyFill="1" applyBorder="1" applyAlignment="1">
      <alignment horizontal="center" vertical="center"/>
    </xf>
    <xf numFmtId="0" fontId="72" fillId="0" borderId="0" xfId="0" applyFont="1"/>
    <xf numFmtId="0" fontId="70" fillId="0" borderId="0" xfId="0" applyFont="1"/>
    <xf numFmtId="166" fontId="74" fillId="0" borderId="0" xfId="2" applyNumberFormat="1" applyFont="1" applyAlignment="1">
      <alignment horizontal="right"/>
    </xf>
    <xf numFmtId="0" fontId="74" fillId="0" borderId="0" xfId="0" applyFont="1" applyAlignment="1">
      <alignment wrapText="1"/>
    </xf>
    <xf numFmtId="0" fontId="74" fillId="0" borderId="0" xfId="0" applyFont="1"/>
    <xf numFmtId="0" fontId="75" fillId="0" borderId="0" xfId="3" applyFont="1" applyFill="1"/>
    <xf numFmtId="166" fontId="74" fillId="0" borderId="0" xfId="2" applyNumberFormat="1" applyFont="1"/>
    <xf numFmtId="9" fontId="39" fillId="7" borderId="25" xfId="1" applyFont="1" applyFill="1" applyBorder="1" applyAlignment="1">
      <alignment horizontal="center" vertical="center"/>
    </xf>
    <xf numFmtId="9" fontId="39" fillId="7" borderId="0" xfId="1" applyFont="1" applyFill="1" applyBorder="1" applyAlignment="1">
      <alignment horizontal="center" vertical="center"/>
    </xf>
    <xf numFmtId="9" fontId="39" fillId="7" borderId="20" xfId="1" applyFont="1" applyFill="1" applyBorder="1" applyAlignment="1">
      <alignment horizontal="center" vertical="center"/>
    </xf>
    <xf numFmtId="9" fontId="39" fillId="7" borderId="21" xfId="1" applyFont="1" applyFill="1" applyBorder="1" applyAlignment="1">
      <alignment horizontal="center" vertical="center"/>
    </xf>
    <xf numFmtId="9" fontId="39" fillId="7" borderId="22" xfId="1" applyFont="1" applyFill="1" applyBorder="1" applyAlignment="1">
      <alignment horizontal="center" vertical="center"/>
    </xf>
    <xf numFmtId="9" fontId="39" fillId="7" borderId="19" xfId="1" applyFont="1" applyFill="1" applyBorder="1" applyAlignment="1">
      <alignment horizontal="center" vertical="center"/>
    </xf>
    <xf numFmtId="9" fontId="39" fillId="7" borderId="23" xfId="1" applyFont="1" applyFill="1" applyBorder="1" applyAlignment="1">
      <alignment horizontal="center" vertical="center"/>
    </xf>
    <xf numFmtId="9" fontId="39" fillId="16" borderId="0" xfId="1" applyFont="1" applyFill="1" applyBorder="1"/>
    <xf numFmtId="0" fontId="24" fillId="14" borderId="0" xfId="0" applyFont="1" applyFill="1"/>
    <xf numFmtId="0" fontId="39" fillId="14" borderId="0" xfId="0" applyFont="1" applyFill="1" applyAlignment="1">
      <alignment horizontal="right" wrapText="1"/>
    </xf>
    <xf numFmtId="0" fontId="39" fillId="6" borderId="0" xfId="0" applyFont="1" applyFill="1" applyAlignment="1">
      <alignment horizontal="right" wrapText="1"/>
    </xf>
    <xf numFmtId="0" fontId="42" fillId="6" borderId="0" xfId="0" applyFont="1" applyFill="1" applyAlignment="1">
      <alignment horizontal="center"/>
    </xf>
    <xf numFmtId="2" fontId="42" fillId="6" borderId="0" xfId="0" applyNumberFormat="1" applyFont="1" applyFill="1"/>
    <xf numFmtId="1" fontId="39" fillId="6" borderId="0" xfId="0" applyNumberFormat="1" applyFont="1" applyFill="1" applyAlignment="1">
      <alignment wrapText="1"/>
    </xf>
    <xf numFmtId="0" fontId="43" fillId="15" borderId="0" xfId="0" applyFont="1" applyFill="1"/>
    <xf numFmtId="0" fontId="39" fillId="15" borderId="0" xfId="0" applyFont="1" applyFill="1"/>
    <xf numFmtId="0" fontId="24" fillId="15" borderId="0" xfId="0" applyFont="1" applyFill="1"/>
    <xf numFmtId="9" fontId="39" fillId="6" borderId="0" xfId="0" applyNumberFormat="1" applyFont="1" applyFill="1"/>
    <xf numFmtId="9" fontId="39" fillId="9" borderId="0" xfId="0" applyNumberFormat="1" applyFont="1" applyFill="1"/>
    <xf numFmtId="9" fontId="39" fillId="14" borderId="0" xfId="0" applyNumberFormat="1" applyFont="1" applyFill="1"/>
    <xf numFmtId="0" fontId="39" fillId="9" borderId="0" xfId="0" applyFont="1" applyFill="1" applyAlignment="1">
      <alignment horizontal="right"/>
    </xf>
    <xf numFmtId="0" fontId="39" fillId="9" borderId="0" xfId="0" applyFont="1" applyFill="1" applyAlignment="1">
      <alignment horizontal="right" wrapText="1"/>
    </xf>
    <xf numFmtId="0" fontId="39" fillId="9" borderId="0" xfId="0" applyFont="1" applyFill="1" applyAlignment="1">
      <alignment wrapText="1"/>
    </xf>
    <xf numFmtId="0" fontId="27" fillId="0" borderId="0" xfId="0" applyFont="1" applyAlignment="1">
      <alignment horizontal="center"/>
    </xf>
    <xf numFmtId="0" fontId="70" fillId="0" borderId="0" xfId="0" applyFont="1" applyAlignment="1">
      <alignment horizontal="center"/>
    </xf>
    <xf numFmtId="0" fontId="70" fillId="0" borderId="0" xfId="0" applyFont="1" applyAlignment="1">
      <alignment horizontal="right"/>
    </xf>
    <xf numFmtId="0" fontId="43" fillId="0" borderId="0" xfId="0" applyFont="1" applyAlignment="1">
      <alignment horizontal="center"/>
    </xf>
    <xf numFmtId="0" fontId="41" fillId="16" borderId="0" xfId="0" applyFont="1" applyFill="1" applyAlignment="1">
      <alignment horizontal="center"/>
    </xf>
    <xf numFmtId="0" fontId="39" fillId="16" borderId="0" xfId="0" applyFont="1" applyFill="1" applyAlignment="1">
      <alignment horizontal="center"/>
    </xf>
    <xf numFmtId="0" fontId="39" fillId="16" borderId="17" xfId="0" applyFont="1" applyFill="1" applyBorder="1" applyAlignment="1">
      <alignment horizontal="center"/>
    </xf>
    <xf numFmtId="0" fontId="39" fillId="16" borderId="0" xfId="0" applyFont="1" applyFill="1" applyAlignment="1">
      <alignment horizontal="center" wrapText="1"/>
    </xf>
    <xf numFmtId="0" fontId="41" fillId="14" borderId="2" xfId="0" applyFont="1" applyFill="1" applyBorder="1" applyAlignment="1">
      <alignment horizontal="center"/>
    </xf>
    <xf numFmtId="0" fontId="41" fillId="9" borderId="2" xfId="0" applyFont="1" applyFill="1" applyBorder="1" applyAlignment="1">
      <alignment horizontal="center"/>
    </xf>
    <xf numFmtId="1" fontId="41" fillId="4" borderId="2" xfId="0" applyNumberFormat="1" applyFont="1" applyFill="1" applyBorder="1" applyAlignment="1">
      <alignment horizontal="center"/>
    </xf>
    <xf numFmtId="0" fontId="41" fillId="17" borderId="2" xfId="0" applyFont="1" applyFill="1" applyBorder="1" applyAlignment="1">
      <alignment horizontal="center"/>
    </xf>
    <xf numFmtId="0" fontId="39" fillId="9" borderId="0" xfId="0" applyFont="1" applyFill="1" applyAlignment="1">
      <alignment horizontal="center"/>
    </xf>
    <xf numFmtId="0" fontId="39" fillId="9" borderId="0" xfId="0" applyFont="1" applyFill="1" applyAlignment="1">
      <alignment horizontal="left" wrapText="1"/>
    </xf>
    <xf numFmtId="0" fontId="39" fillId="9" borderId="10" xfId="0" applyFont="1" applyFill="1" applyBorder="1" applyAlignment="1">
      <alignment horizontal="center"/>
    </xf>
    <xf numFmtId="0" fontId="39" fillId="9" borderId="10" xfId="0" applyFont="1" applyFill="1" applyBorder="1" applyAlignment="1">
      <alignment horizontal="left" wrapText="1"/>
    </xf>
  </cellXfs>
  <cellStyles count="8">
    <cellStyle name="Hyperlink" xfId="3" builtinId="8"/>
    <cellStyle name="Hyperlink 2" xfId="6" xr:uid="{40F0D6DC-7349-4768-9404-2E1B9A9094B5}"/>
    <cellStyle name="Komma" xfId="2" builtinId="3"/>
    <cellStyle name="Ongeldig" xfId="4" builtinId="27"/>
    <cellStyle name="Procent" xfId="1" builtinId="5"/>
    <cellStyle name="Procent 2" xfId="7" xr:uid="{7DEA3EF4-F43D-4E1C-9553-E3E420F2505D}"/>
    <cellStyle name="Standaard" xfId="0" builtinId="0"/>
    <cellStyle name="Standaard 2" xfId="5" xr:uid="{888D3865-A0A0-4FC8-9CF1-F2C2A3871323}"/>
  </cellStyles>
  <dxfs count="0"/>
  <tableStyles count="0" defaultTableStyle="TableStyleMedium2" defaultPivotStyle="PivotStyleLight16"/>
  <colors>
    <mruColors>
      <color rgb="FFFDE9CF"/>
      <color rgb="FFB5B8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Rekensheet!$M$86</c:f>
              <c:strCache>
                <c:ptCount val="1"/>
                <c:pt idx="0">
                  <c:v>Hergebruik</c:v>
                </c:pt>
              </c:strCache>
            </c:strRef>
          </c:tx>
          <c:spPr>
            <a:solidFill>
              <a:schemeClr val="accent1"/>
            </a:solidFill>
            <a:ln>
              <a:noFill/>
            </a:ln>
            <a:effectLst/>
          </c:spPr>
          <c:invertIfNegative val="0"/>
          <c:cat>
            <c:strRef>
              <c:f>Rekensheet!$L$88:$L$89</c:f>
              <c:strCache>
                <c:ptCount val="2"/>
                <c:pt idx="0">
                  <c:v>Met kringlooporganisatie</c:v>
                </c:pt>
                <c:pt idx="1">
                  <c:v>Zonder kringlooporganisatie</c:v>
                </c:pt>
              </c:strCache>
            </c:strRef>
          </c:cat>
          <c:val>
            <c:numRef>
              <c:f>Rekensheet!$M$88:$M$89</c:f>
              <c:numCache>
                <c:formatCode>0.0</c:formatCode>
                <c:ptCount val="2"/>
                <c:pt idx="0">
                  <c:v>0</c:v>
                </c:pt>
                <c:pt idx="1">
                  <c:v>0</c:v>
                </c:pt>
              </c:numCache>
            </c:numRef>
          </c:val>
          <c:extLst>
            <c:ext xmlns:c16="http://schemas.microsoft.com/office/drawing/2014/chart" uri="{C3380CC4-5D6E-409C-BE32-E72D297353CC}">
              <c16:uniqueId val="{00000000-30DB-4511-847A-8FE3922E903A}"/>
            </c:ext>
          </c:extLst>
        </c:ser>
        <c:ser>
          <c:idx val="1"/>
          <c:order val="1"/>
          <c:tx>
            <c:strRef>
              <c:f>Rekensheet!$N$86</c:f>
              <c:strCache>
                <c:ptCount val="1"/>
                <c:pt idx="0">
                  <c:v>Recycling</c:v>
                </c:pt>
              </c:strCache>
            </c:strRef>
          </c:tx>
          <c:spPr>
            <a:solidFill>
              <a:schemeClr val="accent2"/>
            </a:solidFill>
            <a:ln>
              <a:noFill/>
            </a:ln>
            <a:effectLst/>
          </c:spPr>
          <c:invertIfNegative val="0"/>
          <c:cat>
            <c:strRef>
              <c:f>Rekensheet!$L$88:$L$89</c:f>
              <c:strCache>
                <c:ptCount val="2"/>
                <c:pt idx="0">
                  <c:v>Met kringlooporganisatie</c:v>
                </c:pt>
                <c:pt idx="1">
                  <c:v>Zonder kringlooporganisatie</c:v>
                </c:pt>
              </c:strCache>
            </c:strRef>
          </c:cat>
          <c:val>
            <c:numRef>
              <c:f>Rekensheet!$N$88:$N$89</c:f>
              <c:numCache>
                <c:formatCode>0.0</c:formatCode>
                <c:ptCount val="2"/>
                <c:pt idx="0">
                  <c:v>0</c:v>
                </c:pt>
                <c:pt idx="1">
                  <c:v>0</c:v>
                </c:pt>
              </c:numCache>
            </c:numRef>
          </c:val>
          <c:extLst>
            <c:ext xmlns:c16="http://schemas.microsoft.com/office/drawing/2014/chart" uri="{C3380CC4-5D6E-409C-BE32-E72D297353CC}">
              <c16:uniqueId val="{00000001-30DB-4511-847A-8FE3922E903A}"/>
            </c:ext>
          </c:extLst>
        </c:ser>
        <c:ser>
          <c:idx val="2"/>
          <c:order val="2"/>
          <c:tx>
            <c:strRef>
              <c:f>Rekensheet!$O$86</c:f>
              <c:strCache>
                <c:ptCount val="1"/>
                <c:pt idx="0">
                  <c:v>Verbranding</c:v>
                </c:pt>
              </c:strCache>
            </c:strRef>
          </c:tx>
          <c:spPr>
            <a:solidFill>
              <a:schemeClr val="accent3"/>
            </a:solidFill>
            <a:ln>
              <a:noFill/>
            </a:ln>
            <a:effectLst/>
          </c:spPr>
          <c:invertIfNegative val="0"/>
          <c:cat>
            <c:strRef>
              <c:f>Rekensheet!$L$88:$L$89</c:f>
              <c:strCache>
                <c:ptCount val="2"/>
                <c:pt idx="0">
                  <c:v>Met kringlooporganisatie</c:v>
                </c:pt>
                <c:pt idx="1">
                  <c:v>Zonder kringlooporganisatie</c:v>
                </c:pt>
              </c:strCache>
            </c:strRef>
          </c:cat>
          <c:val>
            <c:numRef>
              <c:f>Rekensheet!$O$88:$O$89</c:f>
              <c:numCache>
                <c:formatCode>0.0</c:formatCode>
                <c:ptCount val="2"/>
                <c:pt idx="0">
                  <c:v>0</c:v>
                </c:pt>
                <c:pt idx="1">
                  <c:v>0</c:v>
                </c:pt>
              </c:numCache>
            </c:numRef>
          </c:val>
          <c:extLst>
            <c:ext xmlns:c16="http://schemas.microsoft.com/office/drawing/2014/chart" uri="{C3380CC4-5D6E-409C-BE32-E72D297353CC}">
              <c16:uniqueId val="{00000002-30DB-4511-847A-8FE3922E903A}"/>
            </c:ext>
          </c:extLst>
        </c:ser>
        <c:ser>
          <c:idx val="3"/>
          <c:order val="3"/>
          <c:tx>
            <c:strRef>
              <c:f>Rekensheet!$P$86</c:f>
              <c:strCache>
                <c:ptCount val="1"/>
                <c:pt idx="0">
                  <c:v>Transport </c:v>
                </c:pt>
              </c:strCache>
            </c:strRef>
          </c:tx>
          <c:spPr>
            <a:solidFill>
              <a:schemeClr val="accent4"/>
            </a:solidFill>
            <a:ln>
              <a:noFill/>
            </a:ln>
            <a:effectLst/>
          </c:spPr>
          <c:invertIfNegative val="0"/>
          <c:cat>
            <c:strRef>
              <c:f>Rekensheet!$L$88:$L$89</c:f>
              <c:strCache>
                <c:ptCount val="2"/>
                <c:pt idx="0">
                  <c:v>Met kringlooporganisatie</c:v>
                </c:pt>
                <c:pt idx="1">
                  <c:v>Zonder kringlooporganisatie</c:v>
                </c:pt>
              </c:strCache>
            </c:strRef>
          </c:cat>
          <c:val>
            <c:numRef>
              <c:f>Rekensheet!$P$88:$P$89</c:f>
              <c:numCache>
                <c:formatCode>0.0</c:formatCode>
                <c:ptCount val="2"/>
                <c:pt idx="0">
                  <c:v>0</c:v>
                </c:pt>
                <c:pt idx="1">
                  <c:v>0</c:v>
                </c:pt>
              </c:numCache>
            </c:numRef>
          </c:val>
          <c:extLst>
            <c:ext xmlns:c16="http://schemas.microsoft.com/office/drawing/2014/chart" uri="{C3380CC4-5D6E-409C-BE32-E72D297353CC}">
              <c16:uniqueId val="{00000003-30DB-4511-847A-8FE3922E903A}"/>
            </c:ext>
          </c:extLst>
        </c:ser>
        <c:ser>
          <c:idx val="4"/>
          <c:order val="4"/>
          <c:tx>
            <c:strRef>
              <c:f>Rekensheet!$Q$86</c:f>
              <c:strCache>
                <c:ptCount val="1"/>
                <c:pt idx="0">
                  <c:v>Elektriciteit kringlooporganisatie</c:v>
                </c:pt>
              </c:strCache>
            </c:strRef>
          </c:tx>
          <c:spPr>
            <a:solidFill>
              <a:srgbClr val="00B0F0"/>
            </a:solidFill>
            <a:ln>
              <a:noFill/>
            </a:ln>
            <a:effectLst/>
          </c:spPr>
          <c:invertIfNegative val="0"/>
          <c:cat>
            <c:strRef>
              <c:f>Rekensheet!$L$88:$L$89</c:f>
              <c:strCache>
                <c:ptCount val="2"/>
                <c:pt idx="0">
                  <c:v>Met kringlooporganisatie</c:v>
                </c:pt>
                <c:pt idx="1">
                  <c:v>Zonder kringlooporganisatie</c:v>
                </c:pt>
              </c:strCache>
            </c:strRef>
          </c:cat>
          <c:val>
            <c:numRef>
              <c:f>Rekensheet!$Q$88:$Q$89</c:f>
              <c:numCache>
                <c:formatCode>General</c:formatCode>
                <c:ptCount val="2"/>
                <c:pt idx="0" formatCode="0.0">
                  <c:v>0</c:v>
                </c:pt>
                <c:pt idx="1">
                  <c:v>0</c:v>
                </c:pt>
              </c:numCache>
            </c:numRef>
          </c:val>
          <c:extLst>
            <c:ext xmlns:c16="http://schemas.microsoft.com/office/drawing/2014/chart" uri="{C3380CC4-5D6E-409C-BE32-E72D297353CC}">
              <c16:uniqueId val="{00000004-30DB-4511-847A-8FE3922E903A}"/>
            </c:ext>
          </c:extLst>
        </c:ser>
        <c:ser>
          <c:idx val="5"/>
          <c:order val="5"/>
          <c:tx>
            <c:strRef>
              <c:f>Rekensheet!$R$86</c:f>
              <c:strCache>
                <c:ptCount val="1"/>
                <c:pt idx="0">
                  <c:v>Gas kringlooporganisatie</c:v>
                </c:pt>
              </c:strCache>
            </c:strRef>
          </c:tx>
          <c:spPr>
            <a:solidFill>
              <a:srgbClr val="C00000"/>
            </a:solidFill>
            <a:ln>
              <a:noFill/>
            </a:ln>
            <a:effectLst/>
          </c:spPr>
          <c:invertIfNegative val="0"/>
          <c:cat>
            <c:strRef>
              <c:f>Rekensheet!$L$88:$L$89</c:f>
              <c:strCache>
                <c:ptCount val="2"/>
                <c:pt idx="0">
                  <c:v>Met kringlooporganisatie</c:v>
                </c:pt>
                <c:pt idx="1">
                  <c:v>Zonder kringlooporganisatie</c:v>
                </c:pt>
              </c:strCache>
            </c:strRef>
          </c:cat>
          <c:val>
            <c:numRef>
              <c:f>Rekensheet!$R$88:$R$89</c:f>
              <c:numCache>
                <c:formatCode>General</c:formatCode>
                <c:ptCount val="2"/>
                <c:pt idx="0" formatCode="0.0">
                  <c:v>0</c:v>
                </c:pt>
                <c:pt idx="1">
                  <c:v>0</c:v>
                </c:pt>
              </c:numCache>
            </c:numRef>
          </c:val>
          <c:extLst>
            <c:ext xmlns:c16="http://schemas.microsoft.com/office/drawing/2014/chart" uri="{C3380CC4-5D6E-409C-BE32-E72D297353CC}">
              <c16:uniqueId val="{00000005-30DB-4511-847A-8FE3922E903A}"/>
            </c:ext>
          </c:extLst>
        </c:ser>
        <c:dLbls>
          <c:showLegendKey val="0"/>
          <c:showVal val="0"/>
          <c:showCatName val="0"/>
          <c:showSerName val="0"/>
          <c:showPercent val="0"/>
          <c:showBubbleSize val="0"/>
        </c:dLbls>
        <c:gapWidth val="150"/>
        <c:overlap val="100"/>
        <c:axId val="789186639"/>
        <c:axId val="789187119"/>
      </c:barChart>
      <c:catAx>
        <c:axId val="789186639"/>
        <c:scaling>
          <c:orientation val="minMax"/>
        </c:scaling>
        <c:delete val="0"/>
        <c:axPos val="b"/>
        <c:numFmt formatCode="General" sourceLinked="1"/>
        <c:majorTickMark val="none"/>
        <c:minorTickMark val="none"/>
        <c:tickLblPos val="nextTo"/>
        <c:spPr>
          <a:noFill/>
          <a:ln w="12700"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789187119"/>
        <c:crosses val="autoZero"/>
        <c:auto val="1"/>
        <c:lblAlgn val="ctr"/>
        <c:lblOffset val="100"/>
        <c:noMultiLvlLbl val="0"/>
      </c:catAx>
      <c:valAx>
        <c:axId val="789187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nl-NL"/>
                  <a:t>ton CO</a:t>
                </a:r>
                <a:r>
                  <a:rPr lang="nl-NL" baseline="-25000"/>
                  <a:t>2</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78918663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spPr>
            <a:solidFill>
              <a:schemeClr val="accent5"/>
            </a:solidFill>
            <a:ln>
              <a:noFill/>
            </a:ln>
            <a:effectLst>
              <a:outerShdw blurRad="63500" sx="102000" sy="102000" algn="ctr" rotWithShape="0">
                <a:prstClr val="black">
                  <a:alpha val="20000"/>
                </a:prstClr>
              </a:outerShdw>
            </a:effectLst>
          </c:spPr>
          <c:invertIfNegative val="0"/>
          <c:dPt>
            <c:idx val="0"/>
            <c:invertIfNegative val="0"/>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3-97B9-4B76-904D-604FFB919269}"/>
              </c:ext>
            </c:extLst>
          </c:dPt>
          <c:dPt>
            <c:idx val="1"/>
            <c:invertIfNegative val="0"/>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4-97B9-4B76-904D-604FFB919269}"/>
              </c:ext>
            </c:extLst>
          </c:dPt>
          <c:dPt>
            <c:idx val="2"/>
            <c:invertIfNegative val="0"/>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5-97B9-4B76-904D-604FFB919269}"/>
              </c:ext>
            </c:extLst>
          </c:dPt>
          <c:dPt>
            <c:idx val="3"/>
            <c:invertIfNegative val="0"/>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6-97B9-4B76-904D-604FFB919269}"/>
              </c:ext>
            </c:extLst>
          </c:dPt>
          <c:dPt>
            <c:idx val="4"/>
            <c:invertIfNegative val="0"/>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7-97B9-4B76-904D-604FFB919269}"/>
              </c:ext>
            </c:extLst>
          </c:dPt>
          <c:dPt>
            <c:idx val="5"/>
            <c:invertIfNegative val="0"/>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8-97B9-4B76-904D-604FFB919269}"/>
              </c:ext>
            </c:extLst>
          </c:dPt>
          <c:dPt>
            <c:idx val="6"/>
            <c:invertIfNegative val="0"/>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9-97B9-4B76-904D-604FFB919269}"/>
              </c:ext>
            </c:extLst>
          </c:dPt>
          <c:dPt>
            <c:idx val="7"/>
            <c:invertIfNegative val="0"/>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A-97B9-4B76-904D-604FFB919269}"/>
              </c:ext>
            </c:extLst>
          </c:dPt>
          <c:dPt>
            <c:idx val="8"/>
            <c:invertIfNegative val="0"/>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B-97B9-4B76-904D-604FFB919269}"/>
              </c:ext>
            </c:extLst>
          </c:dPt>
          <c:dLbls>
            <c:delete val="1"/>
          </c:dLbls>
          <c:cat>
            <c:strRef>
              <c:f>Rekensheet!$B$88:$B$96</c:f>
              <c:strCache>
                <c:ptCount val="9"/>
                <c:pt idx="0">
                  <c:v>Textiel</c:v>
                </c:pt>
                <c:pt idx="1">
                  <c:v>Elektrische en elektronische apparatuur</c:v>
                </c:pt>
                <c:pt idx="2">
                  <c:v>Meubilair</c:v>
                </c:pt>
                <c:pt idx="3">
                  <c:v>Materiaalstromen</c:v>
                </c:pt>
                <c:pt idx="4">
                  <c:v>Fietsen</c:v>
                </c:pt>
                <c:pt idx="5">
                  <c:v>Boeken en platen</c:v>
                </c:pt>
                <c:pt idx="6">
                  <c:v>Speelgoed</c:v>
                </c:pt>
                <c:pt idx="7">
                  <c:v>Kleingoed en curiosa</c:v>
                </c:pt>
                <c:pt idx="8">
                  <c:v>Overig</c:v>
                </c:pt>
              </c:strCache>
            </c:strRef>
          </c:cat>
          <c:val>
            <c:numRef>
              <c:f>Rekensheet!$D$88:$D$96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97B9-4B76-904D-604FFB919269}"/>
            </c:ext>
          </c:extLst>
        </c:ser>
        <c:dLbls>
          <c:dLblPos val="outEnd"/>
          <c:showLegendKey val="0"/>
          <c:showVal val="1"/>
          <c:showCatName val="0"/>
          <c:showSerName val="0"/>
          <c:showPercent val="0"/>
          <c:showBubbleSize val="0"/>
        </c:dLbls>
        <c:gapWidth val="100"/>
        <c:axId val="386062031"/>
        <c:axId val="386062511"/>
        <c:extLst>
          <c:ext xmlns:c15="http://schemas.microsoft.com/office/drawing/2012/chart" uri="{02D57815-91ED-43cb-92C2-25804820EDAC}">
            <c15:filteredBarSeries>
              <c15:ser>
                <c:idx val="0"/>
                <c:order val="0"/>
                <c:spPr>
                  <a:solidFill>
                    <a:schemeClr val="accent1"/>
                  </a:solidFill>
                  <a:ln>
                    <a:noFill/>
                  </a:ln>
                  <a:effectLst>
                    <a:outerShdw blurRad="63500" sx="102000" sy="102000" algn="ctr" rotWithShape="0">
                      <a:prstClr val="black">
                        <a:alpha val="20000"/>
                      </a:prstClr>
                    </a:outerShdw>
                  </a:effectLst>
                </c:spPr>
                <c:invertIfNegative val="0"/>
                <c:dPt>
                  <c:idx val="0"/>
                  <c:invertIfNegative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B51-4C4D-9DC9-86702AF92957}"/>
                    </c:ext>
                  </c:extLst>
                </c:dPt>
                <c:dPt>
                  <c:idx val="1"/>
                  <c:invertIfNegative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B51-4C4D-9DC9-86702AF92957}"/>
                    </c:ext>
                  </c:extLst>
                </c:dPt>
                <c:dPt>
                  <c:idx val="2"/>
                  <c:invertIfNegative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B51-4C4D-9DC9-86702AF92957}"/>
                    </c:ext>
                  </c:extLst>
                </c:dPt>
                <c:dPt>
                  <c:idx val="3"/>
                  <c:invertIfNegative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AB51-4C4D-9DC9-86702AF92957}"/>
                    </c:ext>
                  </c:extLst>
                </c:dPt>
                <c:dPt>
                  <c:idx val="4"/>
                  <c:invertIfNegative val="0"/>
                  <c:bubble3D val="0"/>
                  <c:spPr>
                    <a:solidFill>
                      <a:srgbClr val="C0000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AB51-4C4D-9DC9-86702AF92957}"/>
                    </c:ext>
                  </c:extLst>
                </c:dPt>
                <c:dPt>
                  <c:idx val="5"/>
                  <c:invertIfNegative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AB51-4C4D-9DC9-86702AF92957}"/>
                    </c:ext>
                  </c:extLst>
                </c:dPt>
                <c:dPt>
                  <c:idx val="6"/>
                  <c:invertIfNegative val="0"/>
                  <c:bubble3D val="0"/>
                  <c:spPr>
                    <a:solidFill>
                      <a:schemeClr val="tx2">
                        <a:lumMod val="50000"/>
                        <a:lumOff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AB51-4C4D-9DC9-86702AF92957}"/>
                    </c:ext>
                  </c:extLst>
                </c:dPt>
                <c:dPt>
                  <c:idx val="7"/>
                  <c:invertIfNegative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AB51-4C4D-9DC9-86702AF92957}"/>
                    </c:ext>
                  </c:extLst>
                </c:dPt>
                <c:dPt>
                  <c:idx val="8"/>
                  <c:invertIfNegative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AB51-4C4D-9DC9-86702AF92957}"/>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nl-NL"/>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Rekensheet!$B$88:$B$96</c15:sqref>
                        </c15:formulaRef>
                      </c:ext>
                    </c:extLst>
                    <c:strCache>
                      <c:ptCount val="9"/>
                      <c:pt idx="0">
                        <c:v>Textiel</c:v>
                      </c:pt>
                      <c:pt idx="1">
                        <c:v>Elektrische en elektronische apparatuur</c:v>
                      </c:pt>
                      <c:pt idx="2">
                        <c:v>Meubilair</c:v>
                      </c:pt>
                      <c:pt idx="3">
                        <c:v>Materiaalstromen</c:v>
                      </c:pt>
                      <c:pt idx="4">
                        <c:v>Fietsen</c:v>
                      </c:pt>
                      <c:pt idx="5">
                        <c:v>Boeken en platen</c:v>
                      </c:pt>
                      <c:pt idx="6">
                        <c:v>Speelgoed</c:v>
                      </c:pt>
                      <c:pt idx="7">
                        <c:v>Kleingoed en curiosa</c:v>
                      </c:pt>
                      <c:pt idx="8">
                        <c:v>Overig</c:v>
                      </c:pt>
                    </c:strCache>
                  </c:strRef>
                </c:cat>
                <c:val>
                  <c:numRef>
                    <c:extLst>
                      <c:ext uri="{02D57815-91ED-43cb-92C2-25804820EDAC}">
                        <c15:formulaRef>
                          <c15:sqref>Rekensheet!$C$88:$C$96</c15:sqref>
                        </c15:formulaRef>
                      </c:ext>
                    </c:extLst>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AB51-4C4D-9DC9-86702AF92957}"/>
                  </c:ext>
                </c:extLst>
              </c15:ser>
            </c15:filteredBarSeries>
          </c:ext>
        </c:extLst>
      </c:barChart>
      <c:catAx>
        <c:axId val="386062031"/>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nl-NL"/>
          </a:p>
        </c:txPr>
        <c:crossAx val="386062511"/>
        <c:crosses val="autoZero"/>
        <c:auto val="1"/>
        <c:lblAlgn val="ctr"/>
        <c:lblOffset val="100"/>
        <c:noMultiLvlLbl val="0"/>
      </c:catAx>
      <c:valAx>
        <c:axId val="3860625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sz="800" b="0" i="0" u="none" strike="noStrike" kern="1200" cap="all" baseline="0">
                    <a:solidFill>
                      <a:sysClr val="windowText" lastClr="000000">
                        <a:lumMod val="65000"/>
                        <a:lumOff val="35000"/>
                      </a:sysClr>
                    </a:solidFill>
                  </a:rPr>
                  <a:t>Ton </a:t>
                </a:r>
                <a:r>
                  <a:rPr lang="nl-NL"/>
                  <a:t>CO</a:t>
                </a:r>
                <a:r>
                  <a:rPr lang="nl-NL" baseline="-25000"/>
                  <a:t>2</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8606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6.png"/><Relationship Id="rId7" Type="http://schemas.openxmlformats.org/officeDocument/2006/relationships/image" Target="../media/image9.png"/><Relationship Id="rId12" Type="http://schemas.openxmlformats.org/officeDocument/2006/relationships/image" Target="../media/image14.svg"/><Relationship Id="rId2" Type="http://schemas.openxmlformats.org/officeDocument/2006/relationships/chart" Target="../charts/chart1.xml"/><Relationship Id="rId1" Type="http://schemas.openxmlformats.org/officeDocument/2006/relationships/hyperlink" Target="#Intro!A1"/><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chart" Target="../charts/chart2.xml"/><Relationship Id="rId9" Type="http://schemas.openxmlformats.org/officeDocument/2006/relationships/image" Target="../media/image11.png"/><Relationship Id="rId14" Type="http://schemas.openxmlformats.org/officeDocument/2006/relationships/image" Target="../media/image16.sv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hyperlink" Target="#Cockpit!A1"/><Relationship Id="rId5" Type="http://schemas.openxmlformats.org/officeDocument/2006/relationships/image" Target="../media/image5.png"/><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5.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0</xdr:col>
      <xdr:colOff>438150</xdr:colOff>
      <xdr:row>10</xdr:row>
      <xdr:rowOff>53340</xdr:rowOff>
    </xdr:from>
    <xdr:to>
      <xdr:col>24</xdr:col>
      <xdr:colOff>207750</xdr:colOff>
      <xdr:row>19</xdr:row>
      <xdr:rowOff>112059</xdr:rowOff>
    </xdr:to>
    <xdr:sp macro="" textlink="">
      <xdr:nvSpPr>
        <xdr:cNvPr id="10" name="Rechthoek: afgeronde hoeken 92">
          <a:extLst>
            <a:ext uri="{FF2B5EF4-FFF2-40B4-BE49-F238E27FC236}">
              <a16:creationId xmlns:a16="http://schemas.microsoft.com/office/drawing/2014/main" id="{0AA99E43-5EB7-41B6-A26F-D4199EF24C5F}"/>
            </a:ext>
          </a:extLst>
        </xdr:cNvPr>
        <xdr:cNvSpPr/>
      </xdr:nvSpPr>
      <xdr:spPr>
        <a:xfrm>
          <a:off x="438150" y="1655781"/>
          <a:ext cx="14023482" cy="1470660"/>
        </a:xfrm>
        <a:prstGeom prst="rect">
          <a:avLst/>
        </a:prstGeom>
        <a:solidFill>
          <a:schemeClr val="accent6">
            <a:lumMod val="20000"/>
            <a:lumOff val="80000"/>
            <a:alpha val="89804"/>
          </a:schemeClr>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200" b="0" i="0" u="none" strike="noStrike" kern="2000" cap="none" spc="0" normalizeH="0" baseline="0" noProof="0">
            <a:ln>
              <a:noFill/>
            </a:ln>
            <a:solidFill>
              <a:schemeClr val="accent1"/>
            </a:solidFill>
            <a:effectLst/>
            <a:uLnTx/>
            <a:uFillTx/>
            <a:latin typeface="Effra" panose="02000506080000020004" pitchFamily="2"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200" b="1" i="0" u="none" strike="noStrike" kern="200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Welkom bij de CO</a:t>
          </a:r>
          <a:r>
            <a:rPr kumimoji="0" lang="nl-NL" sz="1200" b="1" i="0" u="none" strike="noStrike" kern="2000" cap="none" spc="0" normalizeH="0" baseline="-25000" noProof="0">
              <a:ln>
                <a:noFill/>
              </a:ln>
              <a:solidFill>
                <a:schemeClr val="accent1"/>
              </a:solidFill>
              <a:effectLst/>
              <a:uLnTx/>
              <a:uFillTx/>
              <a:latin typeface="Verdana" panose="020B0604030504040204" pitchFamily="34" charset="0"/>
              <a:ea typeface="Verdana" panose="020B0604030504040204" pitchFamily="34" charset="0"/>
              <a:cs typeface="+mn-cs"/>
            </a:rPr>
            <a:t>2</a:t>
          </a:r>
          <a:r>
            <a:rPr kumimoji="0" lang="nl-NL" sz="1200" b="1" i="0" u="none" strike="noStrike" kern="200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-tool voor kringlooporganisaties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200" b="0" i="1" u="none" strike="noStrike" kern="200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100" b="0" i="0" u="none" strike="noStrike" kern="200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Deze tool is ontwikkeld om milieuwinst uitgedrukt in CO</a:t>
          </a:r>
          <a:r>
            <a:rPr kumimoji="0" lang="nl-NL" sz="1100" b="0" i="0" u="none" strike="noStrike" kern="2000" cap="none" spc="0" normalizeH="0" baseline="-25000" noProof="0">
              <a:ln>
                <a:noFill/>
              </a:ln>
              <a:solidFill>
                <a:schemeClr val="accent1"/>
              </a:solidFill>
              <a:effectLst/>
              <a:uLnTx/>
              <a:uFillTx/>
              <a:latin typeface="Verdana" panose="020B0604030504040204" pitchFamily="34" charset="0"/>
              <a:ea typeface="Verdana" panose="020B0604030504040204" pitchFamily="34" charset="0"/>
              <a:cs typeface="+mn-cs"/>
            </a:rPr>
            <a:t>2</a:t>
          </a:r>
          <a:r>
            <a:rPr kumimoji="0" lang="nl-NL" sz="1100" b="0" i="0" u="none" strike="noStrike" kern="200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-uitstoot te berekenen die ontstaat door de activiteiten van kringlooporganisaties. De tool vergelijkt twee scenario’s: de volledige productketen met en zonder kringlooporganisatie. Hergebruik via een kringlooporganisatie draagt bij aan levensduurverlenging en vermijdt de productie en aanschaf van nieuwe producten.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200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100" b="0" i="0" u="none" strike="noStrike" kern="200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Met de CO</a:t>
          </a:r>
          <a:r>
            <a:rPr kumimoji="0" lang="nl-NL" sz="1100" b="0" i="0" u="none" strike="noStrike" kern="2000" cap="none" spc="0" normalizeH="0" baseline="-25000" noProof="0">
              <a:ln>
                <a:noFill/>
              </a:ln>
              <a:solidFill>
                <a:schemeClr val="accent1"/>
              </a:solidFill>
              <a:effectLst/>
              <a:uLnTx/>
              <a:uFillTx/>
              <a:latin typeface="Verdana" panose="020B0604030504040204" pitchFamily="34" charset="0"/>
              <a:ea typeface="Verdana" panose="020B0604030504040204" pitchFamily="34" charset="0"/>
              <a:cs typeface="+mn-cs"/>
            </a:rPr>
            <a:t>2</a:t>
          </a:r>
          <a:r>
            <a:rPr kumimoji="0" lang="nl-NL" sz="1100" b="0" i="0" u="none" strike="noStrike" kern="200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-tool kunt u op een verantwoorde en transparante manier de CO</a:t>
          </a:r>
          <a:r>
            <a:rPr kumimoji="0" lang="nl-NL" sz="1100" b="0" i="0" u="none" strike="noStrike" kern="2000" cap="none" spc="0" normalizeH="0" baseline="-25000" noProof="0">
              <a:ln>
                <a:noFill/>
              </a:ln>
              <a:solidFill>
                <a:schemeClr val="accent1"/>
              </a:solidFill>
              <a:effectLst/>
              <a:uLnTx/>
              <a:uFillTx/>
              <a:latin typeface="Verdana" panose="020B0604030504040204" pitchFamily="34" charset="0"/>
              <a:ea typeface="Verdana" panose="020B0604030504040204" pitchFamily="34" charset="0"/>
              <a:cs typeface="+mn-cs"/>
            </a:rPr>
            <a:t>2</a:t>
          </a:r>
          <a:r>
            <a:rPr kumimoji="0" lang="nl-NL" sz="1100" b="0" i="0" u="none" strike="noStrike" kern="200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-impact van het hergebruik via uw kringlooporganisatie inzichtelijk maken.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200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endParaRPr>
        </a:p>
      </xdr:txBody>
    </xdr:sp>
    <xdr:clientData/>
  </xdr:twoCellAnchor>
  <xdr:twoCellAnchor>
    <xdr:from>
      <xdr:col>0</xdr:col>
      <xdr:colOff>437589</xdr:colOff>
      <xdr:row>20</xdr:row>
      <xdr:rowOff>89646</xdr:rowOff>
    </xdr:from>
    <xdr:to>
      <xdr:col>12</xdr:col>
      <xdr:colOff>392206</xdr:colOff>
      <xdr:row>64</xdr:row>
      <xdr:rowOff>66262</xdr:rowOff>
    </xdr:to>
    <xdr:sp macro="" textlink="">
      <xdr:nvSpPr>
        <xdr:cNvPr id="44" name="Rechthoek: afgeronde hoeken 92">
          <a:extLst>
            <a:ext uri="{FF2B5EF4-FFF2-40B4-BE49-F238E27FC236}">
              <a16:creationId xmlns:a16="http://schemas.microsoft.com/office/drawing/2014/main" id="{C2E4E5C1-2C6E-493A-9FFB-C1AB01994C42}"/>
            </a:ext>
          </a:extLst>
        </xdr:cNvPr>
        <xdr:cNvSpPr/>
      </xdr:nvSpPr>
      <xdr:spPr>
        <a:xfrm>
          <a:off x="437589" y="3427537"/>
          <a:ext cx="7011400" cy="7265312"/>
        </a:xfrm>
        <a:prstGeom prst="rect">
          <a:avLst/>
        </a:prstGeom>
        <a:solidFill>
          <a:schemeClr val="accent6">
            <a:lumMod val="40000"/>
            <a:lumOff val="60000"/>
            <a:alpha val="74902"/>
          </a:schemeClr>
        </a:solidFill>
        <a:ln w="57150" cap="flat" cmpd="sng" algn="ctr">
          <a:noFill/>
          <a:prstDash val="solid"/>
          <a:miter lim="800000"/>
        </a:ln>
        <a:effectLst/>
      </xdr:spPr>
      <xdr:txBody>
        <a:bodyPr vertOverflow="clip" horzOverflow="clip" rtlCol="0" anchor="t"/>
        <a:lstStyle/>
        <a:p>
          <a:endParaRPr lang="nl-NL" sz="1000" b="1">
            <a:solidFill>
              <a:schemeClr val="tx2"/>
            </a:solidFill>
            <a:effectLst/>
            <a:latin typeface="Verdana" panose="020B0604030504040204" pitchFamily="34" charset="0"/>
            <a:ea typeface="Verdana" panose="020B0604030504040204" pitchFamily="34" charset="0"/>
            <a:cs typeface="Times New Roman" panose="02020603050405020304" pitchFamily="18" charset="0"/>
          </a:endParaRPr>
        </a:p>
        <a:p>
          <a:r>
            <a:rPr lang="nl-NL" sz="1000" b="1">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Scope</a:t>
          </a:r>
          <a:r>
            <a:rPr lang="nl-NL" sz="1000" b="1" baseline="0">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 van de tool</a:t>
          </a:r>
          <a:r>
            <a:rPr lang="nl-NL" sz="1000" b="1">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 </a:t>
          </a:r>
        </a:p>
        <a:p>
          <a:r>
            <a:rPr lang="nl-NL" sz="1000">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De scope van de berekeningen begint bij de inzameling van gebruikte goederen gevolgd door verwerking volgens verschillende routes zoals hergebruik, recycling en afvalverbranding. De CO</a:t>
          </a:r>
          <a:r>
            <a:rPr lang="nl-NL" sz="1000" baseline="-25000">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2</a:t>
          </a:r>
          <a:r>
            <a:rPr lang="nl-NL" sz="1000">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-uitstoot als gevolg van energiegebruik door de kringlooporganisatie kan ook worden ingevuld</a:t>
          </a:r>
          <a:r>
            <a:rPr lang="nl-NL" sz="1000" baseline="0">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 en meegenomen in de berekening.</a:t>
          </a:r>
          <a:r>
            <a:rPr lang="nl-NL" sz="1000">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 </a:t>
          </a:r>
        </a:p>
        <a:p>
          <a:endParaRPr lang="nl-NL" sz="1000">
            <a:solidFill>
              <a:schemeClr val="tx2"/>
            </a:solidFill>
            <a:effectLst/>
            <a:latin typeface="Verdana" panose="020B0604030504040204" pitchFamily="34" charset="0"/>
            <a:ea typeface="Verdana" panose="020B0604030504040204" pitchFamily="34" charset="0"/>
            <a:cs typeface="Times New Roman" panose="02020603050405020304" pitchFamily="18" charset="0"/>
          </a:endParaRPr>
        </a:p>
        <a:p>
          <a:r>
            <a:rPr lang="nl-NL" sz="1000" b="1">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Achtergrond van deze tool </a:t>
          </a:r>
        </a:p>
        <a:p>
          <a:r>
            <a:rPr lang="nl-NL" sz="1000">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Deze tool is een geactualiseerde versie van de oorspronkelijke tool die TNO in 2014 ontwikkelde voor de Branchevergeniging Kringloop Nederland (BKN), welke op zijn beurt gebaseerd was op een eerdere versie uit 2008. In deze versie zijn de datasets opnieuw geactualiseerd naar de inzichten uit</a:t>
          </a:r>
          <a:r>
            <a:rPr lang="nl-NL" sz="1000" baseline="0">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 2024</a:t>
          </a:r>
          <a:r>
            <a:rPr lang="nl-NL" sz="1000">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 Daarnaast zijn de keuzes uit eerdere versies heroverwogen en waar nodig aangepast om de nauwkeurigheid en relevantie verder te verbeteren.</a:t>
          </a:r>
        </a:p>
        <a:p>
          <a:endParaRPr lang="nl-NL" sz="1000">
            <a:solidFill>
              <a:schemeClr val="tx2"/>
            </a:solidFill>
            <a:effectLst/>
            <a:latin typeface="Verdana" panose="020B0604030504040204" pitchFamily="34" charset="0"/>
            <a:ea typeface="Verdana" panose="020B0604030504040204" pitchFamily="34" charset="0"/>
            <a:cs typeface="Times New Roman" panose="02020603050405020304" pitchFamily="18" charset="0"/>
          </a:endParaRPr>
        </a:p>
        <a:p>
          <a:r>
            <a:rPr lang="nl-NL" sz="1000" b="1">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Rekenmethodiek</a:t>
          </a:r>
          <a:r>
            <a:rPr lang="nl-NL" sz="1000" b="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 </a:t>
          </a:r>
        </a:p>
        <a:p>
          <a:r>
            <a:rPr lang="nl-NL" sz="1000" b="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Life Cycle Assessment (</a:t>
          </a:r>
          <a:r>
            <a:rPr lang="nl-NL" sz="100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LCA)</a:t>
          </a:r>
          <a:r>
            <a:rPr lang="nl-NL" sz="90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 </a:t>
          </a:r>
          <a:r>
            <a:rPr lang="nl-NL" sz="100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benadering,</a:t>
          </a:r>
          <a:r>
            <a:rPr lang="nl-NL" sz="1000" baseline="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 uitgevoerd met </a:t>
          </a:r>
          <a:r>
            <a:rPr lang="nl-NL" sz="100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Simapro 9.6.0.1 en rekenmethode IPCC 2021 GWP100. In deze rekenmethode </a:t>
          </a:r>
          <a:r>
            <a:rPr lang="nl-NL" sz="1000" baseline="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wordt de impact op de opwarming van de aarde uitgedrukt in CO</a:t>
          </a:r>
          <a:r>
            <a:rPr lang="nl-NL" sz="1000" baseline="-2500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2</a:t>
          </a:r>
          <a:r>
            <a:rPr lang="nl-NL" sz="1000" baseline="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-equivalenten. Het woord "equivalenten" betekent dat de impact van verschillende broeikasgasgassen wordt vergeleken door ze te vertalen naar de hoeveelheid CO</a:t>
          </a:r>
          <a:r>
            <a:rPr lang="nl-NL" sz="1000" baseline="-2500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2</a:t>
          </a:r>
          <a:r>
            <a:rPr lang="nl-NL" sz="1000" baseline="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 Hierdoor kan de impact van verschillende broeikasgassen worden uitgedrukt in dezelfde eenheid. Om de leesbaarheid te bevorderen wordt in deze tool het woord "equivalenten" weg gelaten, en alleen "CO</a:t>
          </a:r>
          <a:r>
            <a:rPr lang="nl-NL" sz="1000" baseline="-2500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2</a:t>
          </a:r>
          <a:r>
            <a:rPr lang="nl-NL" sz="1000" baseline="0">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 geschreven.</a:t>
          </a:r>
          <a:endParaRPr lang="nl-NL" sz="1000">
            <a:solidFill>
              <a:schemeClr val="accent1"/>
            </a:solidFill>
            <a:effectLst/>
            <a:latin typeface="Verdana" panose="020B0604030504040204" pitchFamily="34" charset="0"/>
            <a:ea typeface="Verdana" panose="020B0604030504040204" pitchFamily="34" charset="0"/>
            <a:cs typeface="Times New Roman" panose="02020603050405020304" pitchFamily="18" charset="0"/>
          </a:endParaRPr>
        </a:p>
        <a:p>
          <a:endParaRPr lang="nl-NL" sz="1000">
            <a:solidFill>
              <a:schemeClr val="accent1"/>
            </a:solidFill>
            <a:effectLst/>
            <a:latin typeface="Verdana" panose="020B0604030504040204" pitchFamily="34" charset="0"/>
            <a:ea typeface="Verdana" panose="020B060403050404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l-NL" sz="1000" b="1">
              <a:solidFill>
                <a:schemeClr val="accent1"/>
              </a:solidFill>
              <a:effectLst/>
              <a:latin typeface="Verdana" panose="020B0604030504040204" pitchFamily="34" charset="0"/>
              <a:ea typeface="Verdana" panose="020B0604030504040204" pitchFamily="34" charset="0"/>
              <a:cs typeface="Times New Roman" panose="02020603050405020304" pitchFamily="18" charset="0"/>
            </a:rPr>
            <a:t>Dataverzameling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00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Times New Roman" panose="02020603050405020304" pitchFamily="18" charset="0"/>
            </a:rPr>
            <a:t>Een combinatie van recente BKN-data, RWS-data en wetenschappelijke literatuur.</a:t>
          </a:r>
        </a:p>
        <a:p>
          <a:pPr marL="0" marR="0" lvl="0" indent="0" defTabSz="914400" eaLnBrk="1" fontAlgn="auto" latinLnBrk="0" hangingPunct="1">
            <a:lnSpc>
              <a:spcPct val="100000"/>
            </a:lnSpc>
            <a:spcBef>
              <a:spcPts val="0"/>
            </a:spcBef>
            <a:spcAft>
              <a:spcPts val="0"/>
            </a:spcAft>
            <a:buClrTx/>
            <a:buSzTx/>
            <a:buFontTx/>
            <a:buNone/>
            <a:tabLst/>
            <a:defRPr/>
          </a:pPr>
          <a:endParaRPr kumimoji="0" lang="nl-NL" sz="100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l-NL" sz="1000" b="1">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Impact database: </a:t>
          </a:r>
          <a:r>
            <a:rPr lang="nl-NL" sz="1000">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Ecoinvent 3.10</a:t>
          </a:r>
        </a:p>
        <a:p>
          <a:pPr marL="0" marR="0" lvl="0" indent="0" defTabSz="914400" eaLnBrk="1" fontAlgn="auto" latinLnBrk="0" hangingPunct="1">
            <a:lnSpc>
              <a:spcPct val="100000"/>
            </a:lnSpc>
            <a:spcBef>
              <a:spcPts val="0"/>
            </a:spcBef>
            <a:spcAft>
              <a:spcPts val="0"/>
            </a:spcAft>
            <a:buClrTx/>
            <a:buSzTx/>
            <a:buFontTx/>
            <a:buNone/>
            <a:tabLst/>
            <a:defRPr/>
          </a:pPr>
          <a:endParaRPr lang="nl-NL" sz="1000">
            <a:solidFill>
              <a:schemeClr val="tx2"/>
            </a:solidFill>
            <a:effectLst/>
            <a:latin typeface="Verdana" panose="020B0604030504040204" pitchFamily="34" charset="0"/>
            <a:ea typeface="Verdana" panose="020B060403050404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l-NL" sz="1000" b="1">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Overzicht scenarios</a:t>
          </a:r>
          <a:r>
            <a:rPr lang="nl-NL" sz="1000" b="1" baseline="0">
              <a:solidFill>
                <a:schemeClr val="tx2"/>
              </a:solidFill>
              <a:effectLst/>
              <a:latin typeface="Verdana" panose="020B0604030504040204" pitchFamily="34" charset="0"/>
              <a:ea typeface="Verdana" panose="020B0604030504040204" pitchFamily="34" charset="0"/>
              <a:cs typeface="Times New Roman" panose="02020603050405020304" pitchFamily="18"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lang="nl-NL" sz="1000" b="1">
            <a:solidFill>
              <a:schemeClr val="tx2"/>
            </a:solidFill>
            <a:effectLst/>
            <a:latin typeface="Verdana" panose="020B0604030504040204" pitchFamily="34" charset="0"/>
            <a:ea typeface="Verdana" panose="020B0604030504040204" pitchFamily="34" charset="0"/>
            <a:cs typeface="Times New Roman" panose="02020603050405020304" pitchFamily="18" charset="0"/>
          </a:endParaRPr>
        </a:p>
      </xdr:txBody>
    </xdr:sp>
    <xdr:clientData/>
  </xdr:twoCellAnchor>
  <xdr:twoCellAnchor>
    <xdr:from>
      <xdr:col>12</xdr:col>
      <xdr:colOff>571501</xdr:colOff>
      <xdr:row>20</xdr:row>
      <xdr:rowOff>100851</xdr:rowOff>
    </xdr:from>
    <xdr:to>
      <xdr:col>24</xdr:col>
      <xdr:colOff>179294</xdr:colOff>
      <xdr:row>40</xdr:row>
      <xdr:rowOff>115956</xdr:rowOff>
    </xdr:to>
    <xdr:sp macro="" textlink="">
      <xdr:nvSpPr>
        <xdr:cNvPr id="41" name="Rechthoek: afgeronde hoeken 92">
          <a:extLst>
            <a:ext uri="{FF2B5EF4-FFF2-40B4-BE49-F238E27FC236}">
              <a16:creationId xmlns:a16="http://schemas.microsoft.com/office/drawing/2014/main" id="{CA7DE322-964B-45ED-BEC3-B3AE854B9DA0}"/>
            </a:ext>
          </a:extLst>
        </xdr:cNvPr>
        <xdr:cNvSpPr/>
      </xdr:nvSpPr>
      <xdr:spPr>
        <a:xfrm>
          <a:off x="7628284" y="3438742"/>
          <a:ext cx="6664575" cy="3328149"/>
        </a:xfrm>
        <a:prstGeom prst="rect">
          <a:avLst/>
        </a:prstGeom>
        <a:solidFill>
          <a:schemeClr val="accent6">
            <a:lumMod val="40000"/>
            <a:lumOff val="60000"/>
            <a:alpha val="74902"/>
          </a:schemeClr>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000" b="1"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00" b="1"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Opbouw van de tool</a:t>
          </a:r>
          <a:endParaRPr kumimoji="0" lang="nl-NL" sz="100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0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De sheet 'Cockpit' vormt het hart van de tool waar de inputgegevens door de kringlooporganisatie kunnen worden ingevoerd in de groenomlijnde vakken. Wanneer de beschikbare gegevens zijn ingevuld, zullen de figuren in de resultaten automatisch worden weergegeven.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00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00" b="1"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De CO</a:t>
          </a:r>
          <a:r>
            <a:rPr kumimoji="0" lang="nl-NL" sz="1000" b="1" i="0" u="none" strike="noStrike" kern="0" cap="none" spc="0" normalizeH="0" baseline="-25000" noProof="0">
              <a:ln>
                <a:noFill/>
              </a:ln>
              <a:solidFill>
                <a:schemeClr val="tx2"/>
              </a:solidFill>
              <a:effectLst/>
              <a:uLnTx/>
              <a:uFillTx/>
              <a:latin typeface="Verdana" panose="020B0604030504040204" pitchFamily="34" charset="0"/>
              <a:ea typeface="Verdana" panose="020B0604030504040204" pitchFamily="34" charset="0"/>
              <a:cs typeface="+mn-cs"/>
            </a:rPr>
            <a:t>2</a:t>
          </a:r>
          <a:r>
            <a:rPr kumimoji="0" lang="nl-NL" sz="1000" b="1"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-tool voor kringlooporganisaties is ontwikkeld door Ecoras in opdracht van het ministerie van IenW (via Rijkswaterstaat) en in nauwe samenwerking met BKN.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000" b="1"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00" b="1"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Disclaimer: </a:t>
          </a:r>
          <a:r>
            <a:rPr kumimoji="0" lang="nl-NL" sz="100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De CO</a:t>
          </a:r>
          <a:r>
            <a:rPr kumimoji="0" lang="nl-NL" sz="1000" b="0" i="0" u="none" strike="noStrike" kern="0" cap="none" spc="0" normalizeH="0" baseline="-25000" noProof="0">
              <a:ln>
                <a:noFill/>
              </a:ln>
              <a:solidFill>
                <a:schemeClr val="tx2"/>
              </a:solidFill>
              <a:effectLst/>
              <a:uLnTx/>
              <a:uFillTx/>
              <a:latin typeface="Verdana" panose="020B0604030504040204" pitchFamily="34" charset="0"/>
              <a:ea typeface="Verdana" panose="020B0604030504040204" pitchFamily="34" charset="0"/>
              <a:cs typeface="+mn-cs"/>
            </a:rPr>
            <a:t>2</a:t>
          </a:r>
          <a:r>
            <a:rPr kumimoji="0" lang="nl-NL" sz="100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-tool voor kringlooporganisaties is opgesteld met grote zorgvuldigheid en volgens actuele methoden op basis van recent, zo specifiek mogelijke data. Gebruik van de tool is op eigen risico. De ontwikkelaars zijn niet aansprakelijk voor eventuele direct of indirecte schade door toepassing van de tool.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00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00" b="1"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Gerealiseerd door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000" b="1"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endParaRPr>
        </a:p>
      </xdr:txBody>
    </xdr:sp>
    <xdr:clientData/>
  </xdr:twoCellAnchor>
  <xdr:twoCellAnchor>
    <xdr:from>
      <xdr:col>1</xdr:col>
      <xdr:colOff>1964</xdr:colOff>
      <xdr:row>1</xdr:row>
      <xdr:rowOff>132661</xdr:rowOff>
    </xdr:from>
    <xdr:to>
      <xdr:col>22</xdr:col>
      <xdr:colOff>481852</xdr:colOff>
      <xdr:row>6</xdr:row>
      <xdr:rowOff>2032</xdr:rowOff>
    </xdr:to>
    <xdr:sp macro="" textlink="">
      <xdr:nvSpPr>
        <xdr:cNvPr id="7" name="TextBox 5">
          <a:extLst>
            <a:ext uri="{FF2B5EF4-FFF2-40B4-BE49-F238E27FC236}">
              <a16:creationId xmlns:a16="http://schemas.microsoft.com/office/drawing/2014/main" id="{9F96C395-E029-B611-EDA7-653EAD62E507}"/>
            </a:ext>
          </a:extLst>
        </xdr:cNvPr>
        <xdr:cNvSpPr txBox="1"/>
      </xdr:nvSpPr>
      <xdr:spPr>
        <a:xfrm>
          <a:off x="595876" y="289543"/>
          <a:ext cx="12952035" cy="687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3600" b="1">
              <a:solidFill>
                <a:schemeClr val="bg1"/>
              </a:solidFill>
              <a:latin typeface="+mj-lt"/>
            </a:rPr>
            <a:t>CO</a:t>
          </a:r>
          <a:r>
            <a:rPr lang="nl-NL" sz="3600" b="1" baseline="-25000">
              <a:solidFill>
                <a:schemeClr val="bg1"/>
              </a:solidFill>
              <a:latin typeface="+mj-lt"/>
            </a:rPr>
            <a:t>2</a:t>
          </a:r>
          <a:r>
            <a:rPr lang="nl-NL" sz="3600" b="1">
              <a:solidFill>
                <a:schemeClr val="bg1"/>
              </a:solidFill>
              <a:latin typeface="+mj-lt"/>
            </a:rPr>
            <a:t>-tool voor kringlooporganisaties</a:t>
          </a:r>
        </a:p>
      </xdr:txBody>
    </xdr:sp>
    <xdr:clientData/>
  </xdr:twoCellAnchor>
  <xdr:twoCellAnchor>
    <xdr:from>
      <xdr:col>0</xdr:col>
      <xdr:colOff>1</xdr:colOff>
      <xdr:row>6</xdr:row>
      <xdr:rowOff>149006</xdr:rowOff>
    </xdr:from>
    <xdr:to>
      <xdr:col>24</xdr:col>
      <xdr:colOff>224119</xdr:colOff>
      <xdr:row>9</xdr:row>
      <xdr:rowOff>33488</xdr:rowOff>
    </xdr:to>
    <xdr:grpSp>
      <xdr:nvGrpSpPr>
        <xdr:cNvPr id="3389" name="Groep 95">
          <a:extLst>
            <a:ext uri="{FF2B5EF4-FFF2-40B4-BE49-F238E27FC236}">
              <a16:creationId xmlns:a16="http://schemas.microsoft.com/office/drawing/2014/main" id="{08B57181-D939-41CF-BE3C-B75571446B8F}"/>
            </a:ext>
          </a:extLst>
        </xdr:cNvPr>
        <xdr:cNvGrpSpPr/>
      </xdr:nvGrpSpPr>
      <xdr:grpSpPr>
        <a:xfrm>
          <a:off x="1" y="1120556"/>
          <a:ext cx="14397318" cy="370257"/>
          <a:chOff x="1" y="593910"/>
          <a:chExt cx="25543580" cy="341247"/>
        </a:xfrm>
      </xdr:grpSpPr>
      <xdr:sp macro="" textlink="">
        <xdr:nvSpPr>
          <xdr:cNvPr id="3390" name="Rectangle 8">
            <a:extLst>
              <a:ext uri="{FF2B5EF4-FFF2-40B4-BE49-F238E27FC236}">
                <a16:creationId xmlns:a16="http://schemas.microsoft.com/office/drawing/2014/main" id="{7A7C23CE-418B-148B-CB74-91244E169C12}"/>
              </a:ext>
              <a:ext uri="{147F2762-F138-4A5C-976F-8EAC2B608ADB}">
                <a16:predDERef xmlns:a16="http://schemas.microsoft.com/office/drawing/2014/main" pred="{00000000-0008-0000-0300-00000E000000}"/>
              </a:ext>
            </a:extLst>
          </xdr:cNvPr>
          <xdr:cNvSpPr/>
        </xdr:nvSpPr>
        <xdr:spPr>
          <a:xfrm>
            <a:off x="1" y="714813"/>
            <a:ext cx="25543580" cy="61213"/>
          </a:xfrm>
          <a:prstGeom prst="rect">
            <a:avLst/>
          </a:prstGeom>
          <a:gradFill flip="none" rotWithShape="1">
            <a:gsLst>
              <a:gs pos="0">
                <a:srgbClr val="5AA760"/>
              </a:gs>
              <a:gs pos="50000">
                <a:srgbClr val="BCD41B"/>
              </a:gs>
              <a:gs pos="100000">
                <a:srgbClr val="17BCD6"/>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3391" name="Freeform: Shape 21">
            <a:extLst>
              <a:ext uri="{FF2B5EF4-FFF2-40B4-BE49-F238E27FC236}">
                <a16:creationId xmlns:a16="http://schemas.microsoft.com/office/drawing/2014/main" id="{E4EF9036-84ED-C573-CDBC-EAB45ABDBA85}"/>
              </a:ext>
            </a:extLst>
          </xdr:cNvPr>
          <xdr:cNvSpPr/>
        </xdr:nvSpPr>
        <xdr:spPr>
          <a:xfrm rot="10800000" flipH="1" flipV="1">
            <a:off x="13008698" y="763920"/>
            <a:ext cx="6501077" cy="171237"/>
          </a:xfrm>
          <a:custGeom>
            <a:avLst/>
            <a:gdLst>
              <a:gd name="connsiteX0" fmla="*/ 1888223 w 4050434"/>
              <a:gd name="connsiteY0" fmla="*/ 466180 h 466180"/>
              <a:gd name="connsiteX1" fmla="*/ 2025217 w 4050434"/>
              <a:gd name="connsiteY1" fmla="*/ 465510 h 466180"/>
              <a:gd name="connsiteX2" fmla="*/ 2162211 w 4050434"/>
              <a:gd name="connsiteY2" fmla="*/ 466180 h 466180"/>
              <a:gd name="connsiteX3" fmla="*/ 4050434 w 4050434"/>
              <a:gd name="connsiteY3" fmla="*/ 17828 h 466180"/>
              <a:gd name="connsiteX4" fmla="*/ 4050434 w 4050434"/>
              <a:gd name="connsiteY4" fmla="*/ 0 h 466180"/>
              <a:gd name="connsiteX5" fmla="*/ 0 w 4050434"/>
              <a:gd name="connsiteY5" fmla="*/ 0 h 466180"/>
              <a:gd name="connsiteX6" fmla="*/ 0 w 4050434"/>
              <a:gd name="connsiteY6" fmla="*/ 17829 h 466180"/>
              <a:gd name="connsiteX7" fmla="*/ 1888223 w 4050434"/>
              <a:gd name="connsiteY7" fmla="*/ 466180 h 466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50434" h="466180">
                <a:moveTo>
                  <a:pt x="1888223" y="466180"/>
                </a:moveTo>
                <a:lnTo>
                  <a:pt x="2025217" y="465510"/>
                </a:lnTo>
                <a:lnTo>
                  <a:pt x="2162211" y="466180"/>
                </a:lnTo>
                <a:cubicBezTo>
                  <a:pt x="2791618" y="435341"/>
                  <a:pt x="3043381" y="17828"/>
                  <a:pt x="4050434" y="17828"/>
                </a:cubicBezTo>
                <a:lnTo>
                  <a:pt x="4050434" y="0"/>
                </a:lnTo>
                <a:lnTo>
                  <a:pt x="0" y="0"/>
                </a:lnTo>
                <a:lnTo>
                  <a:pt x="0" y="17829"/>
                </a:lnTo>
                <a:cubicBezTo>
                  <a:pt x="1007053" y="17829"/>
                  <a:pt x="1258816" y="435341"/>
                  <a:pt x="1888223" y="466180"/>
                </a:cubicBezTo>
                <a:close/>
              </a:path>
            </a:pathLst>
          </a:custGeom>
          <a:gradFill>
            <a:gsLst>
              <a:gs pos="80366">
                <a:srgbClr val="7CCB63"/>
              </a:gs>
              <a:gs pos="51400">
                <a:srgbClr val="9CCF40"/>
              </a:gs>
              <a:gs pos="0">
                <a:srgbClr val="B7D11F"/>
              </a:gs>
              <a:gs pos="100000">
                <a:srgbClr val="67C87B"/>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3392" name="Freeform: Shape 20">
            <a:extLst>
              <a:ext uri="{FF2B5EF4-FFF2-40B4-BE49-F238E27FC236}">
                <a16:creationId xmlns:a16="http://schemas.microsoft.com/office/drawing/2014/main" id="{243BA247-B330-9E5A-F1D7-87723584CF7B}"/>
              </a:ext>
            </a:extLst>
          </xdr:cNvPr>
          <xdr:cNvSpPr/>
        </xdr:nvSpPr>
        <xdr:spPr>
          <a:xfrm rot="10800000" flipH="1">
            <a:off x="17385803" y="593910"/>
            <a:ext cx="8095973" cy="146049"/>
          </a:xfrm>
          <a:custGeom>
            <a:avLst/>
            <a:gdLst>
              <a:gd name="connsiteX0" fmla="*/ 1888223 w 4050434"/>
              <a:gd name="connsiteY0" fmla="*/ 466180 h 466180"/>
              <a:gd name="connsiteX1" fmla="*/ 2025217 w 4050434"/>
              <a:gd name="connsiteY1" fmla="*/ 465510 h 466180"/>
              <a:gd name="connsiteX2" fmla="*/ 2162211 w 4050434"/>
              <a:gd name="connsiteY2" fmla="*/ 466180 h 466180"/>
              <a:gd name="connsiteX3" fmla="*/ 4050434 w 4050434"/>
              <a:gd name="connsiteY3" fmla="*/ 17828 h 466180"/>
              <a:gd name="connsiteX4" fmla="*/ 4050434 w 4050434"/>
              <a:gd name="connsiteY4" fmla="*/ 0 h 466180"/>
              <a:gd name="connsiteX5" fmla="*/ 0 w 4050434"/>
              <a:gd name="connsiteY5" fmla="*/ 0 h 466180"/>
              <a:gd name="connsiteX6" fmla="*/ 0 w 4050434"/>
              <a:gd name="connsiteY6" fmla="*/ 17829 h 466180"/>
              <a:gd name="connsiteX7" fmla="*/ 1888223 w 4050434"/>
              <a:gd name="connsiteY7" fmla="*/ 466180 h 466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50434" h="466180">
                <a:moveTo>
                  <a:pt x="1888223" y="466180"/>
                </a:moveTo>
                <a:lnTo>
                  <a:pt x="2025217" y="465510"/>
                </a:lnTo>
                <a:lnTo>
                  <a:pt x="2162211" y="466180"/>
                </a:lnTo>
                <a:cubicBezTo>
                  <a:pt x="2791618" y="435341"/>
                  <a:pt x="3043381" y="17828"/>
                  <a:pt x="4050434" y="17828"/>
                </a:cubicBezTo>
                <a:lnTo>
                  <a:pt x="4050434" y="0"/>
                </a:lnTo>
                <a:lnTo>
                  <a:pt x="0" y="0"/>
                </a:lnTo>
                <a:lnTo>
                  <a:pt x="0" y="17829"/>
                </a:lnTo>
                <a:cubicBezTo>
                  <a:pt x="1007053" y="17829"/>
                  <a:pt x="1258816" y="435341"/>
                  <a:pt x="1888223" y="466180"/>
                </a:cubicBezTo>
                <a:close/>
              </a:path>
            </a:pathLst>
          </a:custGeom>
          <a:gradFill>
            <a:gsLst>
              <a:gs pos="51400">
                <a:srgbClr val="51C494"/>
              </a:gs>
              <a:gs pos="0">
                <a:srgbClr val="8FCD4E"/>
              </a:gs>
              <a:gs pos="100000">
                <a:srgbClr val="17BCD6"/>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clientData/>
  </xdr:twoCellAnchor>
  <xdr:twoCellAnchor>
    <xdr:from>
      <xdr:col>16</xdr:col>
      <xdr:colOff>132521</xdr:colOff>
      <xdr:row>34</xdr:row>
      <xdr:rowOff>157370</xdr:rowOff>
    </xdr:from>
    <xdr:to>
      <xdr:col>17</xdr:col>
      <xdr:colOff>165651</xdr:colOff>
      <xdr:row>38</xdr:row>
      <xdr:rowOff>115958</xdr:rowOff>
    </xdr:to>
    <xdr:pic>
      <xdr:nvPicPr>
        <xdr:cNvPr id="6" name="Picture 5">
          <a:extLst>
            <a:ext uri="{FF2B5EF4-FFF2-40B4-BE49-F238E27FC236}">
              <a16:creationId xmlns:a16="http://schemas.microsoft.com/office/drawing/2014/main" id="{6298DDDE-5FF2-BF1F-F174-16D38FA5D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41564" y="5814392"/>
          <a:ext cx="621196" cy="621196"/>
        </a:xfrm>
        <a:prstGeom prst="rect">
          <a:avLst/>
        </a:prstGeom>
      </xdr:spPr>
    </xdr:pic>
    <xdr:clientData/>
  </xdr:twoCellAnchor>
  <xdr:twoCellAnchor>
    <xdr:from>
      <xdr:col>0</xdr:col>
      <xdr:colOff>505919</xdr:colOff>
      <xdr:row>47</xdr:row>
      <xdr:rowOff>139599</xdr:rowOff>
    </xdr:from>
    <xdr:to>
      <xdr:col>12</xdr:col>
      <xdr:colOff>436537</xdr:colOff>
      <xdr:row>63</xdr:row>
      <xdr:rowOff>24836</xdr:rowOff>
    </xdr:to>
    <xdr:grpSp>
      <xdr:nvGrpSpPr>
        <xdr:cNvPr id="3" name="Groep 2">
          <a:extLst>
            <a:ext uri="{FF2B5EF4-FFF2-40B4-BE49-F238E27FC236}">
              <a16:creationId xmlns:a16="http://schemas.microsoft.com/office/drawing/2014/main" id="{0859BD53-8994-60A9-0056-8B5D97AC8627}"/>
            </a:ext>
          </a:extLst>
        </xdr:cNvPr>
        <xdr:cNvGrpSpPr/>
      </xdr:nvGrpSpPr>
      <xdr:grpSpPr>
        <a:xfrm>
          <a:off x="505919" y="7750074"/>
          <a:ext cx="7017218" cy="2476037"/>
          <a:chOff x="547334" y="7486285"/>
          <a:chExt cx="6987401" cy="2535672"/>
        </a:xfrm>
      </xdr:grpSpPr>
      <xdr:pic>
        <xdr:nvPicPr>
          <xdr:cNvPr id="8" name="Afbeelding 7">
            <a:extLst>
              <a:ext uri="{FF2B5EF4-FFF2-40B4-BE49-F238E27FC236}">
                <a16:creationId xmlns:a16="http://schemas.microsoft.com/office/drawing/2014/main" id="{9CA85A8F-F645-3D17-F310-26D77FF44004}"/>
              </a:ext>
            </a:extLst>
          </xdr:cNvPr>
          <xdr:cNvPicPr>
            <a:picLocks noChangeAspect="1"/>
          </xdr:cNvPicPr>
        </xdr:nvPicPr>
        <xdr:blipFill>
          <a:blip xmlns:r="http://schemas.openxmlformats.org/officeDocument/2006/relationships" r:embed="rId2"/>
          <a:stretch>
            <a:fillRect/>
          </a:stretch>
        </xdr:blipFill>
        <xdr:spPr>
          <a:xfrm>
            <a:off x="4075376" y="7701052"/>
            <a:ext cx="3459359" cy="2320905"/>
          </a:xfrm>
          <a:prstGeom prst="rect">
            <a:avLst/>
          </a:prstGeom>
        </xdr:spPr>
      </xdr:pic>
      <xdr:pic>
        <xdr:nvPicPr>
          <xdr:cNvPr id="30" name="Afbeelding 29">
            <a:extLst>
              <a:ext uri="{FF2B5EF4-FFF2-40B4-BE49-F238E27FC236}">
                <a16:creationId xmlns:a16="http://schemas.microsoft.com/office/drawing/2014/main" id="{89AE7F81-6B1B-1A5A-9332-F7D08FDF9D14}"/>
              </a:ext>
            </a:extLst>
          </xdr:cNvPr>
          <xdr:cNvPicPr>
            <a:picLocks noChangeAspect="1"/>
          </xdr:cNvPicPr>
        </xdr:nvPicPr>
        <xdr:blipFill>
          <a:blip xmlns:r="http://schemas.openxmlformats.org/officeDocument/2006/relationships" r:embed="rId3"/>
          <a:stretch>
            <a:fillRect/>
          </a:stretch>
        </xdr:blipFill>
        <xdr:spPr>
          <a:xfrm>
            <a:off x="547334" y="7486285"/>
            <a:ext cx="3256589" cy="2535672"/>
          </a:xfrm>
          <a:prstGeom prst="rect">
            <a:avLst/>
          </a:prstGeom>
        </xdr:spPr>
      </xdr:pic>
    </xdr:grpSp>
    <xdr:clientData/>
  </xdr:twoCellAnchor>
  <xdr:twoCellAnchor editAs="oneCell">
    <xdr:from>
      <xdr:col>22</xdr:col>
      <xdr:colOff>125432</xdr:colOff>
      <xdr:row>2</xdr:row>
      <xdr:rowOff>15861</xdr:rowOff>
    </xdr:from>
    <xdr:to>
      <xdr:col>23</xdr:col>
      <xdr:colOff>524131</xdr:colOff>
      <xdr:row>4</xdr:row>
      <xdr:rowOff>108845</xdr:rowOff>
    </xdr:to>
    <xdr:pic>
      <xdr:nvPicPr>
        <xdr:cNvPr id="2" name="Picture 24">
          <a:extLst>
            <a:ext uri="{FF2B5EF4-FFF2-40B4-BE49-F238E27FC236}">
              <a16:creationId xmlns:a16="http://schemas.microsoft.com/office/drawing/2014/main" id="{E645ABA9-852D-41E5-9AB7-C16EF0FDF3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17532" y="339711"/>
          <a:ext cx="989249" cy="416834"/>
        </a:xfrm>
        <a:prstGeom prst="rect">
          <a:avLst/>
        </a:prstGeom>
      </xdr:spPr>
    </xdr:pic>
    <xdr:clientData/>
  </xdr:twoCellAnchor>
  <xdr:twoCellAnchor editAs="oneCell">
    <xdr:from>
      <xdr:col>19</xdr:col>
      <xdr:colOff>57150</xdr:colOff>
      <xdr:row>1</xdr:row>
      <xdr:rowOff>19050</xdr:rowOff>
    </xdr:from>
    <xdr:to>
      <xdr:col>22</xdr:col>
      <xdr:colOff>40558</xdr:colOff>
      <xdr:row>5</xdr:row>
      <xdr:rowOff>125480</xdr:rowOff>
    </xdr:to>
    <xdr:pic>
      <xdr:nvPicPr>
        <xdr:cNvPr id="4" name="Picture 5">
          <a:extLst>
            <a:ext uri="{FF2B5EF4-FFF2-40B4-BE49-F238E27FC236}">
              <a16:creationId xmlns:a16="http://schemas.microsoft.com/office/drawing/2014/main" id="{7C0ECDEE-1EC4-4DF4-8CC6-A5F076F9B6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77600" y="180975"/>
          <a:ext cx="1755058" cy="754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140511</xdr:colOff>
      <xdr:row>0</xdr:row>
      <xdr:rowOff>84115</xdr:rowOff>
    </xdr:from>
    <xdr:to>
      <xdr:col>11</xdr:col>
      <xdr:colOff>189016</xdr:colOff>
      <xdr:row>4</xdr:row>
      <xdr:rowOff>145470</xdr:rowOff>
    </xdr:to>
    <xdr:sp macro="" textlink="">
      <xdr:nvSpPr>
        <xdr:cNvPr id="270" name="TextBox 5">
          <a:extLst>
            <a:ext uri="{FF2B5EF4-FFF2-40B4-BE49-F238E27FC236}">
              <a16:creationId xmlns:a16="http://schemas.microsoft.com/office/drawing/2014/main" id="{174F3B2E-D439-48B6-8498-5F041B5EF1D6}"/>
            </a:ext>
          </a:extLst>
        </xdr:cNvPr>
        <xdr:cNvSpPr txBox="1"/>
      </xdr:nvSpPr>
      <xdr:spPr>
        <a:xfrm>
          <a:off x="140511" y="84115"/>
          <a:ext cx="10335505" cy="714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3600" b="1">
              <a:solidFill>
                <a:schemeClr val="bg1"/>
              </a:solidFill>
              <a:latin typeface="+mj-lt"/>
            </a:rPr>
            <a:t>Cockpit</a:t>
          </a:r>
        </a:p>
      </xdr:txBody>
    </xdr:sp>
    <xdr:clientData/>
  </xdr:twoCellAnchor>
  <xdr:twoCellAnchor>
    <xdr:from>
      <xdr:col>0</xdr:col>
      <xdr:colOff>2</xdr:colOff>
      <xdr:row>3</xdr:row>
      <xdr:rowOff>159867</xdr:rowOff>
    </xdr:from>
    <xdr:to>
      <xdr:col>23</xdr:col>
      <xdr:colOff>600637</xdr:colOff>
      <xdr:row>6</xdr:row>
      <xdr:rowOff>8879</xdr:rowOff>
    </xdr:to>
    <xdr:grpSp>
      <xdr:nvGrpSpPr>
        <xdr:cNvPr id="261" name="Groep 95">
          <a:extLst>
            <a:ext uri="{FF2B5EF4-FFF2-40B4-BE49-F238E27FC236}">
              <a16:creationId xmlns:a16="http://schemas.microsoft.com/office/drawing/2014/main" id="{55778B71-0F21-4864-9E0E-1F1B7B487083}"/>
            </a:ext>
          </a:extLst>
        </xdr:cNvPr>
        <xdr:cNvGrpSpPr/>
      </xdr:nvGrpSpPr>
      <xdr:grpSpPr>
        <a:xfrm>
          <a:off x="2" y="649724"/>
          <a:ext cx="26295003" cy="338869"/>
          <a:chOff x="1" y="593910"/>
          <a:chExt cx="25543580" cy="341247"/>
        </a:xfrm>
      </xdr:grpSpPr>
      <xdr:sp macro="" textlink="">
        <xdr:nvSpPr>
          <xdr:cNvPr id="262" name="Rectangle 8">
            <a:extLst>
              <a:ext uri="{FF2B5EF4-FFF2-40B4-BE49-F238E27FC236}">
                <a16:creationId xmlns:a16="http://schemas.microsoft.com/office/drawing/2014/main" id="{0E37F340-9B27-2B97-E366-5FB71BCF30F2}"/>
              </a:ext>
              <a:ext uri="{147F2762-F138-4A5C-976F-8EAC2B608ADB}">
                <a16:predDERef xmlns:a16="http://schemas.microsoft.com/office/drawing/2014/main" pred="{00000000-0008-0000-0300-00000E000000}"/>
              </a:ext>
            </a:extLst>
          </xdr:cNvPr>
          <xdr:cNvSpPr/>
        </xdr:nvSpPr>
        <xdr:spPr>
          <a:xfrm>
            <a:off x="1" y="714813"/>
            <a:ext cx="25543580" cy="61213"/>
          </a:xfrm>
          <a:prstGeom prst="rect">
            <a:avLst/>
          </a:prstGeom>
          <a:gradFill flip="none" rotWithShape="1">
            <a:gsLst>
              <a:gs pos="0">
                <a:srgbClr val="5AA760"/>
              </a:gs>
              <a:gs pos="50000">
                <a:srgbClr val="BCD41B"/>
              </a:gs>
              <a:gs pos="100000">
                <a:srgbClr val="17BCD6"/>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63" name="Freeform: Shape 21">
            <a:extLst>
              <a:ext uri="{FF2B5EF4-FFF2-40B4-BE49-F238E27FC236}">
                <a16:creationId xmlns:a16="http://schemas.microsoft.com/office/drawing/2014/main" id="{21A6B94E-5BBE-48A6-DB62-251603F379D6}"/>
              </a:ext>
            </a:extLst>
          </xdr:cNvPr>
          <xdr:cNvSpPr/>
        </xdr:nvSpPr>
        <xdr:spPr>
          <a:xfrm rot="10800000" flipH="1" flipV="1">
            <a:off x="13008698" y="763920"/>
            <a:ext cx="6501077" cy="171237"/>
          </a:xfrm>
          <a:custGeom>
            <a:avLst/>
            <a:gdLst>
              <a:gd name="connsiteX0" fmla="*/ 1888223 w 4050434"/>
              <a:gd name="connsiteY0" fmla="*/ 466180 h 466180"/>
              <a:gd name="connsiteX1" fmla="*/ 2025217 w 4050434"/>
              <a:gd name="connsiteY1" fmla="*/ 465510 h 466180"/>
              <a:gd name="connsiteX2" fmla="*/ 2162211 w 4050434"/>
              <a:gd name="connsiteY2" fmla="*/ 466180 h 466180"/>
              <a:gd name="connsiteX3" fmla="*/ 4050434 w 4050434"/>
              <a:gd name="connsiteY3" fmla="*/ 17828 h 466180"/>
              <a:gd name="connsiteX4" fmla="*/ 4050434 w 4050434"/>
              <a:gd name="connsiteY4" fmla="*/ 0 h 466180"/>
              <a:gd name="connsiteX5" fmla="*/ 0 w 4050434"/>
              <a:gd name="connsiteY5" fmla="*/ 0 h 466180"/>
              <a:gd name="connsiteX6" fmla="*/ 0 w 4050434"/>
              <a:gd name="connsiteY6" fmla="*/ 17829 h 466180"/>
              <a:gd name="connsiteX7" fmla="*/ 1888223 w 4050434"/>
              <a:gd name="connsiteY7" fmla="*/ 466180 h 466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50434" h="466180">
                <a:moveTo>
                  <a:pt x="1888223" y="466180"/>
                </a:moveTo>
                <a:lnTo>
                  <a:pt x="2025217" y="465510"/>
                </a:lnTo>
                <a:lnTo>
                  <a:pt x="2162211" y="466180"/>
                </a:lnTo>
                <a:cubicBezTo>
                  <a:pt x="2791618" y="435341"/>
                  <a:pt x="3043381" y="17828"/>
                  <a:pt x="4050434" y="17828"/>
                </a:cubicBezTo>
                <a:lnTo>
                  <a:pt x="4050434" y="0"/>
                </a:lnTo>
                <a:lnTo>
                  <a:pt x="0" y="0"/>
                </a:lnTo>
                <a:lnTo>
                  <a:pt x="0" y="17829"/>
                </a:lnTo>
                <a:cubicBezTo>
                  <a:pt x="1007053" y="17829"/>
                  <a:pt x="1258816" y="435341"/>
                  <a:pt x="1888223" y="466180"/>
                </a:cubicBezTo>
                <a:close/>
              </a:path>
            </a:pathLst>
          </a:custGeom>
          <a:gradFill>
            <a:gsLst>
              <a:gs pos="80366">
                <a:srgbClr val="7CCB63"/>
              </a:gs>
              <a:gs pos="51400">
                <a:srgbClr val="9CCF40"/>
              </a:gs>
              <a:gs pos="0">
                <a:srgbClr val="B7D11F"/>
              </a:gs>
              <a:gs pos="100000">
                <a:srgbClr val="67C87B"/>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64" name="Freeform: Shape 20">
            <a:extLst>
              <a:ext uri="{FF2B5EF4-FFF2-40B4-BE49-F238E27FC236}">
                <a16:creationId xmlns:a16="http://schemas.microsoft.com/office/drawing/2014/main" id="{ED0AAD01-81D4-5B6B-7218-EE53E9758ECD}"/>
              </a:ext>
            </a:extLst>
          </xdr:cNvPr>
          <xdr:cNvSpPr/>
        </xdr:nvSpPr>
        <xdr:spPr>
          <a:xfrm rot="10800000" flipH="1">
            <a:off x="17385803" y="593910"/>
            <a:ext cx="8095973" cy="146049"/>
          </a:xfrm>
          <a:custGeom>
            <a:avLst/>
            <a:gdLst>
              <a:gd name="connsiteX0" fmla="*/ 1888223 w 4050434"/>
              <a:gd name="connsiteY0" fmla="*/ 466180 h 466180"/>
              <a:gd name="connsiteX1" fmla="*/ 2025217 w 4050434"/>
              <a:gd name="connsiteY1" fmla="*/ 465510 h 466180"/>
              <a:gd name="connsiteX2" fmla="*/ 2162211 w 4050434"/>
              <a:gd name="connsiteY2" fmla="*/ 466180 h 466180"/>
              <a:gd name="connsiteX3" fmla="*/ 4050434 w 4050434"/>
              <a:gd name="connsiteY3" fmla="*/ 17828 h 466180"/>
              <a:gd name="connsiteX4" fmla="*/ 4050434 w 4050434"/>
              <a:gd name="connsiteY4" fmla="*/ 0 h 466180"/>
              <a:gd name="connsiteX5" fmla="*/ 0 w 4050434"/>
              <a:gd name="connsiteY5" fmla="*/ 0 h 466180"/>
              <a:gd name="connsiteX6" fmla="*/ 0 w 4050434"/>
              <a:gd name="connsiteY6" fmla="*/ 17829 h 466180"/>
              <a:gd name="connsiteX7" fmla="*/ 1888223 w 4050434"/>
              <a:gd name="connsiteY7" fmla="*/ 466180 h 466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50434" h="466180">
                <a:moveTo>
                  <a:pt x="1888223" y="466180"/>
                </a:moveTo>
                <a:lnTo>
                  <a:pt x="2025217" y="465510"/>
                </a:lnTo>
                <a:lnTo>
                  <a:pt x="2162211" y="466180"/>
                </a:lnTo>
                <a:cubicBezTo>
                  <a:pt x="2791618" y="435341"/>
                  <a:pt x="3043381" y="17828"/>
                  <a:pt x="4050434" y="17828"/>
                </a:cubicBezTo>
                <a:lnTo>
                  <a:pt x="4050434" y="0"/>
                </a:lnTo>
                <a:lnTo>
                  <a:pt x="0" y="0"/>
                </a:lnTo>
                <a:lnTo>
                  <a:pt x="0" y="17829"/>
                </a:lnTo>
                <a:cubicBezTo>
                  <a:pt x="1007053" y="17829"/>
                  <a:pt x="1258816" y="435341"/>
                  <a:pt x="1888223" y="466180"/>
                </a:cubicBezTo>
                <a:close/>
              </a:path>
            </a:pathLst>
          </a:custGeom>
          <a:gradFill>
            <a:gsLst>
              <a:gs pos="51400">
                <a:srgbClr val="51C494"/>
              </a:gs>
              <a:gs pos="0">
                <a:srgbClr val="8FCD4E"/>
              </a:gs>
              <a:gs pos="100000">
                <a:srgbClr val="17BCD6"/>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clientData/>
  </xdr:twoCellAnchor>
  <xdr:twoCellAnchor>
    <xdr:from>
      <xdr:col>13</xdr:col>
      <xdr:colOff>466857</xdr:colOff>
      <xdr:row>7</xdr:row>
      <xdr:rowOff>36050</xdr:rowOff>
    </xdr:from>
    <xdr:to>
      <xdr:col>14</xdr:col>
      <xdr:colOff>312352</xdr:colOff>
      <xdr:row>9</xdr:row>
      <xdr:rowOff>90794</xdr:rowOff>
    </xdr:to>
    <xdr:grpSp>
      <xdr:nvGrpSpPr>
        <xdr:cNvPr id="2" name="Groep 7">
          <a:extLst>
            <a:ext uri="{FF2B5EF4-FFF2-40B4-BE49-F238E27FC236}">
              <a16:creationId xmlns:a16="http://schemas.microsoft.com/office/drawing/2014/main" id="{6FA8CA8E-8839-4C5E-99FB-155DDB8AAB26}"/>
            </a:ext>
          </a:extLst>
        </xdr:cNvPr>
        <xdr:cNvGrpSpPr/>
      </xdr:nvGrpSpPr>
      <xdr:grpSpPr>
        <a:xfrm>
          <a:off x="17530214" y="1328729"/>
          <a:ext cx="1423924" cy="381315"/>
          <a:chOff x="363708" y="160803"/>
          <a:chExt cx="1493869" cy="450905"/>
        </a:xfrm>
      </xdr:grpSpPr>
      <xdr:grpSp>
        <xdr:nvGrpSpPr>
          <xdr:cNvPr id="3" name="Groep 28">
            <a:extLst>
              <a:ext uri="{FF2B5EF4-FFF2-40B4-BE49-F238E27FC236}">
                <a16:creationId xmlns:a16="http://schemas.microsoft.com/office/drawing/2014/main" id="{180D51EE-6BB7-28FF-0F80-8993F6455A29}"/>
              </a:ext>
            </a:extLst>
          </xdr:cNvPr>
          <xdr:cNvGrpSpPr/>
        </xdr:nvGrpSpPr>
        <xdr:grpSpPr>
          <a:xfrm>
            <a:off x="363708" y="160803"/>
            <a:ext cx="1493869" cy="450905"/>
            <a:chOff x="3309525" y="11306729"/>
            <a:chExt cx="1458800" cy="520853"/>
          </a:xfrm>
        </xdr:grpSpPr>
        <xdr:sp macro="" textlink="">
          <xdr:nvSpPr>
            <xdr:cNvPr id="9" name="Rechthoek: afgeronde bovenhoeken 8">
              <a:extLst>
                <a:ext uri="{FF2B5EF4-FFF2-40B4-BE49-F238E27FC236}">
                  <a16:creationId xmlns:a16="http://schemas.microsoft.com/office/drawing/2014/main" id="{8EDE6601-200E-B867-6630-0D06F6538740}"/>
                </a:ext>
              </a:extLst>
            </xdr:cNvPr>
            <xdr:cNvSpPr/>
          </xdr:nvSpPr>
          <xdr:spPr>
            <a:xfrm rot="5400000">
              <a:off x="3778498" y="10837756"/>
              <a:ext cx="520853" cy="1458800"/>
            </a:xfrm>
            <a:prstGeom prst="round2SameRect">
              <a:avLst>
                <a:gd name="adj1" fmla="val 16667"/>
                <a:gd name="adj2" fmla="val 15183"/>
              </a:avLst>
            </a:prstGeom>
            <a:solidFill>
              <a:schemeClr val="accent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1" name="Tekstvak 32">
              <a:hlinkClick xmlns:r="http://schemas.openxmlformats.org/officeDocument/2006/relationships" r:id="rId1"/>
              <a:extLst>
                <a:ext uri="{FF2B5EF4-FFF2-40B4-BE49-F238E27FC236}">
                  <a16:creationId xmlns:a16="http://schemas.microsoft.com/office/drawing/2014/main" id="{0EBE60DA-8255-F958-209D-FB5D14B81B46}"/>
                </a:ext>
              </a:extLst>
            </xdr:cNvPr>
            <xdr:cNvSpPr txBox="1"/>
          </xdr:nvSpPr>
          <xdr:spPr>
            <a:xfrm>
              <a:off x="3866388" y="11325596"/>
              <a:ext cx="811324" cy="474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chemeClr val="bg1"/>
                  </a:solidFill>
                  <a:latin typeface="Verdana" panose="020B0604030504040204" pitchFamily="34" charset="0"/>
                  <a:ea typeface="Verdana" panose="020B0604030504040204" pitchFamily="34" charset="0"/>
                </a:rPr>
                <a:t>Intro</a:t>
              </a:r>
              <a:endParaRPr lang="nl-NL" sz="2000" b="1">
                <a:solidFill>
                  <a:schemeClr val="bg1"/>
                </a:solidFill>
                <a:latin typeface="Verdana" panose="020B0604030504040204" pitchFamily="34" charset="0"/>
                <a:ea typeface="Verdana" panose="020B0604030504040204" pitchFamily="34" charset="0"/>
              </a:endParaRPr>
            </a:p>
          </xdr:txBody>
        </xdr:sp>
      </xdr:grpSp>
      <xdr:sp macro="" textlink="">
        <xdr:nvSpPr>
          <xdr:cNvPr id="12" name="Graphic 13">
            <a:extLst>
              <a:ext uri="{FF2B5EF4-FFF2-40B4-BE49-F238E27FC236}">
                <a16:creationId xmlns:a16="http://schemas.microsoft.com/office/drawing/2014/main" id="{05D730AF-6C69-364C-7CB3-C812D48046A5}"/>
              </a:ext>
            </a:extLst>
          </xdr:cNvPr>
          <xdr:cNvSpPr/>
        </xdr:nvSpPr>
        <xdr:spPr>
          <a:xfrm>
            <a:off x="519182" y="227620"/>
            <a:ext cx="295201" cy="277109"/>
          </a:xfrm>
          <a:custGeom>
            <a:avLst/>
            <a:gdLst>
              <a:gd name="connsiteX0" fmla="*/ 4733801 w 4876800"/>
              <a:gd name="connsiteY0" fmla="*/ 4264670 h 4264669"/>
              <a:gd name="connsiteX1" fmla="*/ 4592993 w 4876800"/>
              <a:gd name="connsiteY1" fmla="*/ 4145274 h 4264669"/>
              <a:gd name="connsiteX2" fmla="*/ 2428237 w 4876800"/>
              <a:gd name="connsiteY2" fmla="*/ 2431174 h 4264669"/>
              <a:gd name="connsiteX3" fmla="*/ 2428237 w 4876800"/>
              <a:gd name="connsiteY3" fmla="*/ 3203585 h 4264669"/>
              <a:gd name="connsiteX4" fmla="*/ 2350742 w 4876800"/>
              <a:gd name="connsiteY4" fmla="*/ 3330629 h 4264669"/>
              <a:gd name="connsiteX5" fmla="*/ 2202314 w 4876800"/>
              <a:gd name="connsiteY5" fmla="*/ 3319847 h 4264669"/>
              <a:gd name="connsiteX6" fmla="*/ 59827 w 4876800"/>
              <a:gd name="connsiteY6" fmla="*/ 1789494 h 4264669"/>
              <a:gd name="connsiteX7" fmla="*/ 0 w 4876800"/>
              <a:gd name="connsiteY7" fmla="*/ 1673222 h 4264669"/>
              <a:gd name="connsiteX8" fmla="*/ 59827 w 4876800"/>
              <a:gd name="connsiteY8" fmla="*/ 1556960 h 4264669"/>
              <a:gd name="connsiteX9" fmla="*/ 2202323 w 4876800"/>
              <a:gd name="connsiteY9" fmla="*/ 26616 h 4264669"/>
              <a:gd name="connsiteX10" fmla="*/ 2350742 w 4876800"/>
              <a:gd name="connsiteY10" fmla="*/ 15834 h 4264669"/>
              <a:gd name="connsiteX11" fmla="*/ 2428237 w 4876800"/>
              <a:gd name="connsiteY11" fmla="*/ 142878 h 4264669"/>
              <a:gd name="connsiteX12" fmla="*/ 2428237 w 4876800"/>
              <a:gd name="connsiteY12" fmla="*/ 926929 h 4264669"/>
              <a:gd name="connsiteX13" fmla="*/ 4876800 w 4876800"/>
              <a:gd name="connsiteY13" fmla="*/ 4121785 h 4264669"/>
              <a:gd name="connsiteX14" fmla="*/ 4745708 w 4876800"/>
              <a:gd name="connsiteY14" fmla="*/ 4264175 h 4264669"/>
              <a:gd name="connsiteX15" fmla="*/ 4733801 w 4876800"/>
              <a:gd name="connsiteY15" fmla="*/ 4264670 h 4264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4876800" h="4264669">
                <a:moveTo>
                  <a:pt x="4733801" y="4264670"/>
                </a:moveTo>
                <a:cubicBezTo>
                  <a:pt x="4664621" y="4264670"/>
                  <a:pt x="4604557" y="4214645"/>
                  <a:pt x="4592993" y="4145274"/>
                </a:cubicBezTo>
                <a:cubicBezTo>
                  <a:pt x="4489895" y="3543265"/>
                  <a:pt x="3906946" y="2492572"/>
                  <a:pt x="2428237" y="2431174"/>
                </a:cubicBezTo>
                <a:lnTo>
                  <a:pt x="2428237" y="3203585"/>
                </a:lnTo>
                <a:cubicBezTo>
                  <a:pt x="2428237" y="3257106"/>
                  <a:pt x="2398328" y="3306141"/>
                  <a:pt x="2350742" y="3330629"/>
                </a:cubicBezTo>
                <a:cubicBezTo>
                  <a:pt x="2303145" y="3355109"/>
                  <a:pt x="2245862" y="3350946"/>
                  <a:pt x="2202314" y="3319847"/>
                </a:cubicBezTo>
                <a:lnTo>
                  <a:pt x="59827" y="1789494"/>
                </a:lnTo>
                <a:cubicBezTo>
                  <a:pt x="22279" y="1762671"/>
                  <a:pt x="0" y="1719361"/>
                  <a:pt x="0" y="1673222"/>
                </a:cubicBezTo>
                <a:cubicBezTo>
                  <a:pt x="0" y="1627073"/>
                  <a:pt x="22279" y="1583773"/>
                  <a:pt x="59827" y="1556960"/>
                </a:cubicBezTo>
                <a:lnTo>
                  <a:pt x="2202323" y="26616"/>
                </a:lnTo>
                <a:cubicBezTo>
                  <a:pt x="2245862" y="-4492"/>
                  <a:pt x="2303155" y="-8655"/>
                  <a:pt x="2350742" y="15834"/>
                </a:cubicBezTo>
                <a:cubicBezTo>
                  <a:pt x="2398328" y="40323"/>
                  <a:pt x="2428237" y="89357"/>
                  <a:pt x="2428237" y="142878"/>
                </a:cubicBezTo>
                <a:lnTo>
                  <a:pt x="2428237" y="926929"/>
                </a:lnTo>
                <a:cubicBezTo>
                  <a:pt x="3342284" y="1018102"/>
                  <a:pt x="4876800" y="1677880"/>
                  <a:pt x="4876800" y="4121785"/>
                </a:cubicBezTo>
                <a:cubicBezTo>
                  <a:pt x="4876800" y="4196128"/>
                  <a:pt x="4819793" y="4258050"/>
                  <a:pt x="4745708" y="4264175"/>
                </a:cubicBezTo>
                <a:cubicBezTo>
                  <a:pt x="4741717" y="4264499"/>
                  <a:pt x="4737745" y="4264670"/>
                  <a:pt x="4733801" y="4264670"/>
                </a:cubicBezTo>
                <a:close/>
              </a:path>
            </a:pathLst>
          </a:custGeom>
          <a:solidFill>
            <a:schemeClr val="bg1"/>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grpSp>
    <xdr:clientData/>
  </xdr:twoCellAnchor>
  <xdr:twoCellAnchor>
    <xdr:from>
      <xdr:col>4</xdr:col>
      <xdr:colOff>196104</xdr:colOff>
      <xdr:row>26</xdr:row>
      <xdr:rowOff>62043</xdr:rowOff>
    </xdr:from>
    <xdr:to>
      <xdr:col>8</xdr:col>
      <xdr:colOff>624370</xdr:colOff>
      <xdr:row>30</xdr:row>
      <xdr:rowOff>48846</xdr:rowOff>
    </xdr:to>
    <xdr:sp macro="" textlink="">
      <xdr:nvSpPr>
        <xdr:cNvPr id="57" name="Rechthoek: afgeronde hoeken 92">
          <a:extLst>
            <a:ext uri="{FF2B5EF4-FFF2-40B4-BE49-F238E27FC236}">
              <a16:creationId xmlns:a16="http://schemas.microsoft.com/office/drawing/2014/main" id="{A41E0408-75BB-4C4C-BE3B-1AEB328CA05E}"/>
            </a:ext>
          </a:extLst>
        </xdr:cNvPr>
        <xdr:cNvSpPr/>
      </xdr:nvSpPr>
      <xdr:spPr>
        <a:xfrm>
          <a:off x="7205527" y="5532812"/>
          <a:ext cx="5459420" cy="670649"/>
        </a:xfrm>
        <a:prstGeom prst="roundRect">
          <a:avLst/>
        </a:prstGeom>
        <a:no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50" b="0" i="0" u="none" strike="noStrike" kern="0" cap="none" spc="0" normalizeH="0" baseline="0" noProof="0">
              <a:ln>
                <a:noFill/>
              </a:ln>
              <a:solidFill>
                <a:schemeClr val="accent6"/>
              </a:solidFill>
              <a:effectLst/>
              <a:uLnTx/>
              <a:uFillTx/>
              <a:latin typeface="Verdana" panose="020B0604030504040204" pitchFamily="34" charset="0"/>
              <a:ea typeface="Verdana" panose="020B0604030504040204" pitchFamily="34" charset="0"/>
              <a:cs typeface="+mn-cs"/>
            </a:rPr>
            <a:t>*Als de verdeling over hergebruik, recycling en verbranding niet wordt bijgehouden binnen de kringlooporganisatie, vul dan niks in. Het gemiddelde van Nederland zal gebruikt worden.</a:t>
          </a:r>
        </a:p>
      </xdr:txBody>
    </xdr:sp>
    <xdr:clientData/>
  </xdr:twoCellAnchor>
  <xdr:twoCellAnchor>
    <xdr:from>
      <xdr:col>0</xdr:col>
      <xdr:colOff>717252</xdr:colOff>
      <xdr:row>34</xdr:row>
      <xdr:rowOff>55325</xdr:rowOff>
    </xdr:from>
    <xdr:to>
      <xdr:col>5</xdr:col>
      <xdr:colOff>22411</xdr:colOff>
      <xdr:row>37</xdr:row>
      <xdr:rowOff>112058</xdr:rowOff>
    </xdr:to>
    <xdr:sp macro="" textlink="">
      <xdr:nvSpPr>
        <xdr:cNvPr id="540" name="Rechthoek: afgeronde hoeken 92">
          <a:extLst>
            <a:ext uri="{FF2B5EF4-FFF2-40B4-BE49-F238E27FC236}">
              <a16:creationId xmlns:a16="http://schemas.microsoft.com/office/drawing/2014/main" id="{5B06905D-F7DF-4E30-B42D-C34E04633F37}"/>
            </a:ext>
          </a:extLst>
        </xdr:cNvPr>
        <xdr:cNvSpPr/>
      </xdr:nvSpPr>
      <xdr:spPr>
        <a:xfrm>
          <a:off x="717252" y="6790060"/>
          <a:ext cx="7530277" cy="527380"/>
        </a:xfrm>
        <a:prstGeom prst="roundRect">
          <a:avLst/>
        </a:prstGeom>
        <a:solidFill>
          <a:schemeClr val="bg1"/>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50" b="1"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De resultaten </a:t>
          </a:r>
          <a:r>
            <a:rPr kumimoji="0" lang="nl-NL" sz="105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uit de tool komen hier automatisch te staan op basis van de ingevulde gegevens.</a:t>
          </a:r>
        </a:p>
      </xdr:txBody>
    </xdr:sp>
    <xdr:clientData/>
  </xdr:twoCellAnchor>
  <xdr:twoCellAnchor>
    <xdr:from>
      <xdr:col>0</xdr:col>
      <xdr:colOff>762278</xdr:colOff>
      <xdr:row>8</xdr:row>
      <xdr:rowOff>129745</xdr:rowOff>
    </xdr:from>
    <xdr:to>
      <xdr:col>3</xdr:col>
      <xdr:colOff>1143001</xdr:colOff>
      <xdr:row>10</xdr:row>
      <xdr:rowOff>89647</xdr:rowOff>
    </xdr:to>
    <xdr:sp macro="" textlink="">
      <xdr:nvSpPr>
        <xdr:cNvPr id="31" name="Rechthoek: afgeronde hoeken 92">
          <a:extLst>
            <a:ext uri="{FF2B5EF4-FFF2-40B4-BE49-F238E27FC236}">
              <a16:creationId xmlns:a16="http://schemas.microsoft.com/office/drawing/2014/main" id="{9F6D58F8-2B31-40A2-95EC-8483C4585CE9}"/>
            </a:ext>
          </a:extLst>
        </xdr:cNvPr>
        <xdr:cNvSpPr/>
      </xdr:nvSpPr>
      <xdr:spPr>
        <a:xfrm>
          <a:off x="762278" y="1541686"/>
          <a:ext cx="6073311" cy="273667"/>
        </a:xfrm>
        <a:prstGeom prst="roundRect">
          <a:avLst/>
        </a:prstGeom>
        <a:no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5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Alle vakken </a:t>
          </a:r>
          <a:r>
            <a:rPr kumimoji="0" lang="nl-NL" sz="1050" b="1" i="0" u="none" strike="noStrike" kern="0" cap="none" spc="0" normalizeH="0" baseline="0" noProof="0">
              <a:ln>
                <a:noFill/>
              </a:ln>
              <a:solidFill>
                <a:schemeClr val="accent6"/>
              </a:solidFill>
              <a:effectLst/>
              <a:uLnTx/>
              <a:uFillTx/>
              <a:latin typeface="Verdana" panose="020B0604030504040204" pitchFamily="34" charset="0"/>
              <a:ea typeface="Verdana" panose="020B0604030504040204" pitchFamily="34" charset="0"/>
              <a:cs typeface="+mn-cs"/>
            </a:rPr>
            <a:t>binnen de groene omlijning</a:t>
          </a:r>
          <a:r>
            <a:rPr kumimoji="0" lang="nl-NL" sz="1050" b="0" i="0" u="none" strike="noStrike" kern="0" cap="none" spc="0" normalizeH="0" baseline="0" noProof="0">
              <a:ln>
                <a:noFill/>
              </a:ln>
              <a:solidFill>
                <a:schemeClr val="accent6"/>
              </a:solidFill>
              <a:effectLst/>
              <a:uLnTx/>
              <a:uFillTx/>
              <a:latin typeface="Verdana" panose="020B0604030504040204" pitchFamily="34" charset="0"/>
              <a:ea typeface="Verdana" panose="020B0604030504040204" pitchFamily="34" charset="0"/>
              <a:cs typeface="+mn-cs"/>
            </a:rPr>
            <a:t> </a:t>
          </a:r>
          <a:r>
            <a:rPr kumimoji="0" lang="nl-NL" sz="105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kunnen zelf ingevuld worden!</a:t>
          </a:r>
        </a:p>
      </xdr:txBody>
    </xdr:sp>
    <xdr:clientData/>
  </xdr:twoCellAnchor>
  <xdr:twoCellAnchor>
    <xdr:from>
      <xdr:col>0</xdr:col>
      <xdr:colOff>762960</xdr:colOff>
      <xdr:row>42</xdr:row>
      <xdr:rowOff>109913</xdr:rowOff>
    </xdr:from>
    <xdr:to>
      <xdr:col>5</xdr:col>
      <xdr:colOff>426558</xdr:colOff>
      <xdr:row>72</xdr:row>
      <xdr:rowOff>117103</xdr:rowOff>
    </xdr:to>
    <xdr:graphicFrame macro="">
      <xdr:nvGraphicFramePr>
        <xdr:cNvPr id="21" name="Grafiek 20">
          <a:extLst>
            <a:ext uri="{FF2B5EF4-FFF2-40B4-BE49-F238E27FC236}">
              <a16:creationId xmlns:a16="http://schemas.microsoft.com/office/drawing/2014/main" id="{16E30D7E-948F-4E12-A6DB-C91490144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786936</xdr:colOff>
      <xdr:row>30</xdr:row>
      <xdr:rowOff>122360</xdr:rowOff>
    </xdr:from>
    <xdr:to>
      <xdr:col>14</xdr:col>
      <xdr:colOff>537882</xdr:colOff>
      <xdr:row>34</xdr:row>
      <xdr:rowOff>8545</xdr:rowOff>
    </xdr:to>
    <xdr:grpSp>
      <xdr:nvGrpSpPr>
        <xdr:cNvPr id="44" name="Groep 23">
          <a:extLst>
            <a:ext uri="{FF2B5EF4-FFF2-40B4-BE49-F238E27FC236}">
              <a16:creationId xmlns:a16="http://schemas.microsoft.com/office/drawing/2014/main" id="{CC198B92-CC96-46CD-A070-DA63DF7AB6B3}"/>
            </a:ext>
          </a:extLst>
        </xdr:cNvPr>
        <xdr:cNvGrpSpPr/>
      </xdr:nvGrpSpPr>
      <xdr:grpSpPr>
        <a:xfrm>
          <a:off x="786936" y="6340824"/>
          <a:ext cx="18392732" cy="539328"/>
          <a:chOff x="12606350" y="4248744"/>
          <a:chExt cx="3748518" cy="2722081"/>
        </a:xfrm>
      </xdr:grpSpPr>
      <xdr:sp macro="" textlink="">
        <xdr:nvSpPr>
          <xdr:cNvPr id="45" name="Rechthoek: afgeronde bovenhoeken 81">
            <a:extLst>
              <a:ext uri="{FF2B5EF4-FFF2-40B4-BE49-F238E27FC236}">
                <a16:creationId xmlns:a16="http://schemas.microsoft.com/office/drawing/2014/main" id="{6DDE751B-0657-8B7B-ADCE-04058F11E685}"/>
              </a:ext>
            </a:extLst>
          </xdr:cNvPr>
          <xdr:cNvSpPr/>
        </xdr:nvSpPr>
        <xdr:spPr>
          <a:xfrm rot="5400000">
            <a:off x="13119568" y="3735526"/>
            <a:ext cx="2722081" cy="3748518"/>
          </a:xfrm>
          <a:prstGeom prst="round2SameRect">
            <a:avLst>
              <a:gd name="adj1" fmla="val 24732"/>
              <a:gd name="adj2" fmla="val 15970"/>
            </a:avLst>
          </a:prstGeom>
          <a:solidFill>
            <a:schemeClr val="accent5"/>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46" name="Tekstvak 73">
            <a:extLst>
              <a:ext uri="{FF2B5EF4-FFF2-40B4-BE49-F238E27FC236}">
                <a16:creationId xmlns:a16="http://schemas.microsoft.com/office/drawing/2014/main" id="{87CA9566-0C08-67C0-2DD2-AF533757982F}"/>
              </a:ext>
            </a:extLst>
          </xdr:cNvPr>
          <xdr:cNvSpPr txBox="1"/>
        </xdr:nvSpPr>
        <xdr:spPr>
          <a:xfrm>
            <a:off x="12700250" y="4408612"/>
            <a:ext cx="3640630" cy="2380036"/>
          </a:xfrm>
          <a:prstGeom prst="rect">
            <a:avLst/>
          </a:prstGeom>
          <a:solidFill>
            <a:schemeClr val="accent5"/>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l-NL" sz="2400" b="1" i="0" u="none" strike="noStrike" kern="0" cap="none" spc="0" normalizeH="0" baseline="0" noProof="0">
                <a:ln>
                  <a:noFill/>
                </a:ln>
                <a:solidFill>
                  <a:schemeClr val="bg1"/>
                </a:solidFill>
                <a:effectLst/>
                <a:uLnTx/>
                <a:uFillTx/>
                <a:latin typeface="Verdana" panose="020B0604030504040204" pitchFamily="34" charset="0"/>
                <a:ea typeface="Verdana" panose="020B0604030504040204" pitchFamily="34" charset="0"/>
                <a:cs typeface="+mn-cs"/>
              </a:rPr>
              <a:t>  Resultaten</a:t>
            </a:r>
            <a:endParaRPr kumimoji="0" lang="en-GB" sz="2400" b="1" i="0" u="none" strike="noStrike" kern="0" cap="none" spc="0" normalizeH="0" baseline="0" noProof="0">
              <a:ln>
                <a:noFill/>
              </a:ln>
              <a:solidFill>
                <a:schemeClr val="bg1"/>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l-NL" sz="1600" b="1" i="0" u="none" strike="noStrike" kern="0" cap="none" spc="0" normalizeH="0" baseline="0" noProof="0">
              <a:ln>
                <a:noFill/>
              </a:ln>
              <a:solidFill>
                <a:schemeClr val="bg1"/>
              </a:solidFill>
              <a:effectLst/>
              <a:uLnTx/>
              <a:uFillTx/>
              <a:latin typeface="Calibri" panose="020F0502020204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l-NL" sz="1200" b="1" i="0" u="none" strike="noStrike" kern="0" cap="none" spc="0" normalizeH="0" baseline="0" noProof="0">
              <a:ln>
                <a:noFill/>
              </a:ln>
              <a:solidFill>
                <a:schemeClr val="bg1"/>
              </a:solidFill>
              <a:effectLst/>
              <a:uLnTx/>
              <a:uFillTx/>
              <a:latin typeface="Calibri" panose="020F0502020204030204" pitchFamily="34" charset="0"/>
              <a:ea typeface="+mn-ea"/>
              <a:cs typeface="+mn-cs"/>
            </a:endParaRPr>
          </a:p>
        </xdr:txBody>
      </xdr:sp>
    </xdr:grpSp>
    <xdr:clientData/>
  </xdr:twoCellAnchor>
  <xdr:twoCellAnchor>
    <xdr:from>
      <xdr:col>0</xdr:col>
      <xdr:colOff>825876</xdr:colOff>
      <xdr:row>6</xdr:row>
      <xdr:rowOff>101957</xdr:rowOff>
    </xdr:from>
    <xdr:to>
      <xdr:col>4</xdr:col>
      <xdr:colOff>415417</xdr:colOff>
      <xdr:row>8</xdr:row>
      <xdr:rowOff>78441</xdr:rowOff>
    </xdr:to>
    <xdr:sp macro="" textlink="">
      <xdr:nvSpPr>
        <xdr:cNvPr id="4" name="Rechthoek: afgeronde hoeken 92">
          <a:extLst>
            <a:ext uri="{FF2B5EF4-FFF2-40B4-BE49-F238E27FC236}">
              <a16:creationId xmlns:a16="http://schemas.microsoft.com/office/drawing/2014/main" id="{270FC577-4410-4890-9FC1-711914C1BF3F}"/>
            </a:ext>
          </a:extLst>
        </xdr:cNvPr>
        <xdr:cNvSpPr/>
      </xdr:nvSpPr>
      <xdr:spPr>
        <a:xfrm>
          <a:off x="825876" y="1043251"/>
          <a:ext cx="6604423" cy="447131"/>
        </a:xfrm>
        <a:prstGeom prst="roundRect">
          <a:avLst/>
        </a:prstGeom>
        <a:solidFill>
          <a:schemeClr val="accent6"/>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2000" b="1" i="0" u="none" strike="noStrike" kern="0" cap="none" spc="0" normalizeH="0" baseline="0" noProof="0">
              <a:ln>
                <a:noFill/>
              </a:ln>
              <a:solidFill>
                <a:schemeClr val="bg1"/>
              </a:solidFill>
              <a:effectLst/>
              <a:uLnTx/>
              <a:uFillTx/>
              <a:latin typeface="Verdana" panose="020B0604030504040204" pitchFamily="34" charset="0"/>
              <a:ea typeface="Verdana" panose="020B0604030504040204" pitchFamily="34" charset="0"/>
              <a:cs typeface="+mn-cs"/>
            </a:rPr>
            <a:t>      Invulvelden voor kringlooporganisaties</a:t>
          </a:r>
        </a:p>
      </xdr:txBody>
    </xdr:sp>
    <xdr:clientData/>
  </xdr:twoCellAnchor>
  <xdr:twoCellAnchor editAs="oneCell">
    <xdr:from>
      <xdr:col>9</xdr:col>
      <xdr:colOff>1021495</xdr:colOff>
      <xdr:row>52</xdr:row>
      <xdr:rowOff>23981</xdr:rowOff>
    </xdr:from>
    <xdr:to>
      <xdr:col>10</xdr:col>
      <xdr:colOff>136667</xdr:colOff>
      <xdr:row>56</xdr:row>
      <xdr:rowOff>74969</xdr:rowOff>
    </xdr:to>
    <xdr:pic>
      <xdr:nvPicPr>
        <xdr:cNvPr id="551" name="Afbeelding 62">
          <a:extLst>
            <a:ext uri="{FF2B5EF4-FFF2-40B4-BE49-F238E27FC236}">
              <a16:creationId xmlns:a16="http://schemas.microsoft.com/office/drawing/2014/main" id="{DAAD756A-181B-4D9C-AC14-D65F6173BC1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692631" y="9722163"/>
          <a:ext cx="681430" cy="685988"/>
        </a:xfrm>
        <a:prstGeom prst="rect">
          <a:avLst/>
        </a:prstGeom>
      </xdr:spPr>
    </xdr:pic>
    <xdr:clientData/>
  </xdr:twoCellAnchor>
  <xdr:twoCellAnchor>
    <xdr:from>
      <xdr:col>1</xdr:col>
      <xdr:colOff>625510</xdr:colOff>
      <xdr:row>37</xdr:row>
      <xdr:rowOff>122554</xdr:rowOff>
    </xdr:from>
    <xdr:to>
      <xdr:col>6</xdr:col>
      <xdr:colOff>692675</xdr:colOff>
      <xdr:row>40</xdr:row>
      <xdr:rowOff>29413</xdr:rowOff>
    </xdr:to>
    <xdr:sp macro="" textlink="">
      <xdr:nvSpPr>
        <xdr:cNvPr id="552" name="Rechthoek: afgeronde hoeken 61">
          <a:extLst>
            <a:ext uri="{FF2B5EF4-FFF2-40B4-BE49-F238E27FC236}">
              <a16:creationId xmlns:a16="http://schemas.microsoft.com/office/drawing/2014/main" id="{87BD72D7-125B-4CAF-BE49-0F605B970AFF}"/>
            </a:ext>
          </a:extLst>
        </xdr:cNvPr>
        <xdr:cNvSpPr/>
      </xdr:nvSpPr>
      <xdr:spPr>
        <a:xfrm>
          <a:off x="1553587" y="7693708"/>
          <a:ext cx="8822838" cy="419743"/>
        </a:xfrm>
        <a:prstGeom prst="roundRect">
          <a:avLst/>
        </a:prstGeom>
        <a:solidFill>
          <a:schemeClr val="bg1"/>
        </a:solidFill>
        <a:ln w="571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a:solidFill>
                <a:schemeClr val="accent1"/>
              </a:solidFill>
              <a:latin typeface="Verdana" panose="020B0604030504040204" pitchFamily="34" charset="0"/>
              <a:ea typeface="Verdana" panose="020B0604030504040204" pitchFamily="34" charset="0"/>
            </a:rPr>
            <a:t>Impact verdeling</a:t>
          </a:r>
          <a:r>
            <a:rPr lang="nl-NL" sz="1800" b="1" baseline="0">
              <a:solidFill>
                <a:schemeClr val="accent1"/>
              </a:solidFill>
              <a:latin typeface="Verdana" panose="020B0604030504040204" pitchFamily="34" charset="0"/>
              <a:ea typeface="Verdana" panose="020B0604030504040204" pitchFamily="34" charset="0"/>
            </a:rPr>
            <a:t> beide scenario's</a:t>
          </a:r>
          <a:endParaRPr lang="nl-NL" sz="1800" b="1">
            <a:solidFill>
              <a:schemeClr val="accent1"/>
            </a:solidFill>
            <a:latin typeface="Verdana" panose="020B0604030504040204" pitchFamily="34" charset="0"/>
            <a:ea typeface="Verdana" panose="020B0604030504040204" pitchFamily="34" charset="0"/>
          </a:endParaRPr>
        </a:p>
      </xdr:txBody>
    </xdr:sp>
    <xdr:clientData/>
  </xdr:twoCellAnchor>
  <xdr:twoCellAnchor>
    <xdr:from>
      <xdr:col>7</xdr:col>
      <xdr:colOff>91067</xdr:colOff>
      <xdr:row>61</xdr:row>
      <xdr:rowOff>136730</xdr:rowOff>
    </xdr:from>
    <xdr:to>
      <xdr:col>14</xdr:col>
      <xdr:colOff>347336</xdr:colOff>
      <xdr:row>64</xdr:row>
      <xdr:rowOff>34419</xdr:rowOff>
    </xdr:to>
    <xdr:sp macro="" textlink="">
      <xdr:nvSpPr>
        <xdr:cNvPr id="553" name="Rechthoek: afgeronde hoeken 61">
          <a:extLst>
            <a:ext uri="{FF2B5EF4-FFF2-40B4-BE49-F238E27FC236}">
              <a16:creationId xmlns:a16="http://schemas.microsoft.com/office/drawing/2014/main" id="{B641EB21-8FEF-4EFD-A8DE-8CD1F7E02136}"/>
            </a:ext>
          </a:extLst>
        </xdr:cNvPr>
        <xdr:cNvSpPr/>
      </xdr:nvSpPr>
      <xdr:spPr>
        <a:xfrm>
          <a:off x="10422891" y="11107289"/>
          <a:ext cx="7696974" cy="368336"/>
        </a:xfrm>
        <a:prstGeom prst="roundRect">
          <a:avLst/>
        </a:prstGeom>
        <a:solidFill>
          <a:schemeClr val="bg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NL" sz="1600" b="1" baseline="0">
              <a:solidFill>
                <a:schemeClr val="accent1"/>
              </a:solidFill>
              <a:latin typeface="Verdana" panose="020B0604030504040204" pitchFamily="34" charset="0"/>
              <a:ea typeface="Verdana" panose="020B0604030504040204" pitchFamily="34" charset="0"/>
            </a:rPr>
            <a:t>Impactverdeling </a:t>
          </a:r>
          <a:r>
            <a:rPr lang="nl-NL" sz="1600" b="1">
              <a:solidFill>
                <a:schemeClr val="accent1"/>
              </a:solidFill>
              <a:latin typeface="Verdana" panose="020B0604030504040204" pitchFamily="34" charset="0"/>
              <a:ea typeface="Verdana" panose="020B0604030504040204" pitchFamily="34" charset="0"/>
            </a:rPr>
            <a:t>binnen de productcategorieën</a:t>
          </a:r>
        </a:p>
      </xdr:txBody>
    </xdr:sp>
    <xdr:clientData/>
  </xdr:twoCellAnchor>
  <xdr:twoCellAnchor>
    <xdr:from>
      <xdr:col>7</xdr:col>
      <xdr:colOff>1459985</xdr:colOff>
      <xdr:row>48</xdr:row>
      <xdr:rowOff>147570</xdr:rowOff>
    </xdr:from>
    <xdr:to>
      <xdr:col>13</xdr:col>
      <xdr:colOff>180704</xdr:colOff>
      <xdr:row>51</xdr:row>
      <xdr:rowOff>59536</xdr:rowOff>
    </xdr:to>
    <xdr:sp macro="" textlink="">
      <xdr:nvSpPr>
        <xdr:cNvPr id="16" name="Rechthoek: afgeronde hoeken 52">
          <a:extLst>
            <a:ext uri="{FF2B5EF4-FFF2-40B4-BE49-F238E27FC236}">
              <a16:creationId xmlns:a16="http://schemas.microsoft.com/office/drawing/2014/main" id="{55FE99AA-B5B9-4D2E-AFBF-C86A18074C62}"/>
            </a:ext>
          </a:extLst>
        </xdr:cNvPr>
        <xdr:cNvSpPr/>
      </xdr:nvSpPr>
      <xdr:spPr>
        <a:xfrm>
          <a:off x="12073556" y="9781427"/>
          <a:ext cx="4816719" cy="442645"/>
        </a:xfrm>
        <a:prstGeom prst="roundRect">
          <a:avLst>
            <a:gd name="adj" fmla="val 10173"/>
          </a:avLst>
        </a:prstGeom>
        <a:noFill/>
        <a:ln w="571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baseline="0">
              <a:solidFill>
                <a:schemeClr val="accent1"/>
              </a:solidFill>
              <a:latin typeface="Verdana" panose="020B0604030504040204" pitchFamily="34" charset="0"/>
              <a:ea typeface="Verdana" panose="020B0604030504040204" pitchFamily="34" charset="0"/>
            </a:rPr>
            <a:t>Deze hoeveelheid CO</a:t>
          </a:r>
          <a:r>
            <a:rPr lang="nl-NL" sz="1600" b="1" baseline="-25000">
              <a:solidFill>
                <a:schemeClr val="accent1"/>
              </a:solidFill>
              <a:latin typeface="Verdana" panose="020B0604030504040204" pitchFamily="34" charset="0"/>
              <a:ea typeface="Verdana" panose="020B0604030504040204" pitchFamily="34" charset="0"/>
            </a:rPr>
            <a:t>2</a:t>
          </a:r>
          <a:r>
            <a:rPr lang="nl-NL" sz="1600" b="1" baseline="0">
              <a:solidFill>
                <a:schemeClr val="accent1"/>
              </a:solidFill>
              <a:latin typeface="Verdana" panose="020B0604030504040204" pitchFamily="34" charset="0"/>
              <a:ea typeface="Verdana" panose="020B0604030504040204" pitchFamily="34" charset="0"/>
            </a:rPr>
            <a:t> staat gelijk aan</a:t>
          </a:r>
          <a:r>
            <a:rPr lang="nl-NL" sz="1600" b="1" baseline="30000">
              <a:solidFill>
                <a:schemeClr val="accent1"/>
              </a:solidFill>
              <a:latin typeface="Verdana" panose="020B0604030504040204" pitchFamily="34" charset="0"/>
              <a:ea typeface="Verdana" panose="020B0604030504040204" pitchFamily="34" charset="0"/>
            </a:rPr>
            <a:t>1</a:t>
          </a:r>
          <a:r>
            <a:rPr lang="nl-NL" sz="1600" b="1" baseline="0">
              <a:solidFill>
                <a:schemeClr val="accent1"/>
              </a:solidFill>
              <a:latin typeface="Verdana" panose="020B0604030504040204" pitchFamily="34" charset="0"/>
              <a:ea typeface="Verdana" panose="020B0604030504040204" pitchFamily="34" charset="0"/>
            </a:rPr>
            <a:t>:</a:t>
          </a:r>
        </a:p>
      </xdr:txBody>
    </xdr:sp>
    <xdr:clientData/>
  </xdr:twoCellAnchor>
  <xdr:twoCellAnchor>
    <xdr:from>
      <xdr:col>7</xdr:col>
      <xdr:colOff>305288</xdr:colOff>
      <xdr:row>64</xdr:row>
      <xdr:rowOff>98965</xdr:rowOff>
    </xdr:from>
    <xdr:to>
      <xdr:col>14</xdr:col>
      <xdr:colOff>390770</xdr:colOff>
      <xdr:row>88</xdr:row>
      <xdr:rowOff>24423</xdr:rowOff>
    </xdr:to>
    <xdr:graphicFrame macro="">
      <xdr:nvGraphicFramePr>
        <xdr:cNvPr id="6" name="Grafiek 5">
          <a:extLst>
            <a:ext uri="{FF2B5EF4-FFF2-40B4-BE49-F238E27FC236}">
              <a16:creationId xmlns:a16="http://schemas.microsoft.com/office/drawing/2014/main" id="{48F905CE-3ACC-42F8-A49C-05E77A774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1110770</xdr:colOff>
      <xdr:row>52</xdr:row>
      <xdr:rowOff>41889</xdr:rowOff>
    </xdr:from>
    <xdr:to>
      <xdr:col>8</xdr:col>
      <xdr:colOff>235002</xdr:colOff>
      <xdr:row>56</xdr:row>
      <xdr:rowOff>140130</xdr:rowOff>
    </xdr:to>
    <xdr:grpSp>
      <xdr:nvGrpSpPr>
        <xdr:cNvPr id="17" name="Group 16">
          <a:extLst>
            <a:ext uri="{FF2B5EF4-FFF2-40B4-BE49-F238E27FC236}">
              <a16:creationId xmlns:a16="http://schemas.microsoft.com/office/drawing/2014/main" id="{74F40BBD-73CD-918D-866C-D8A9A8072539}"/>
            </a:ext>
          </a:extLst>
        </xdr:cNvPr>
        <xdr:cNvGrpSpPr/>
      </xdr:nvGrpSpPr>
      <xdr:grpSpPr>
        <a:xfrm>
          <a:off x="11438591" y="9852639"/>
          <a:ext cx="838732" cy="751384"/>
          <a:chOff x="11413026" y="8355029"/>
          <a:chExt cx="838732" cy="751384"/>
        </a:xfrm>
      </xdr:grpSpPr>
      <xdr:pic>
        <xdr:nvPicPr>
          <xdr:cNvPr id="550" name="Afbeelding 78">
            <a:extLst>
              <a:ext uri="{FF2B5EF4-FFF2-40B4-BE49-F238E27FC236}">
                <a16:creationId xmlns:a16="http://schemas.microsoft.com/office/drawing/2014/main" id="{421F7389-1642-4166-9BB0-1901E29DD45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rot="18417803" flipH="1">
            <a:off x="11408935" y="8359120"/>
            <a:ext cx="425384" cy="417201"/>
          </a:xfrm>
          <a:prstGeom prst="rect">
            <a:avLst/>
          </a:prstGeom>
        </xdr:spPr>
      </xdr:pic>
      <xdr:pic>
        <xdr:nvPicPr>
          <xdr:cNvPr id="7" name="Afbeelding 6" descr="Worldwide ">
            <a:extLst>
              <a:ext uri="{FF2B5EF4-FFF2-40B4-BE49-F238E27FC236}">
                <a16:creationId xmlns:a16="http://schemas.microsoft.com/office/drawing/2014/main" id="{C22CBB10-3B35-57C6-7852-57BE6BEE22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40549" y="8536765"/>
            <a:ext cx="611209" cy="569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1905</xdr:colOff>
      <xdr:row>23</xdr:row>
      <xdr:rowOff>1960</xdr:rowOff>
    </xdr:from>
    <xdr:to>
      <xdr:col>3</xdr:col>
      <xdr:colOff>168088</xdr:colOff>
      <xdr:row>26</xdr:row>
      <xdr:rowOff>11206</xdr:rowOff>
    </xdr:to>
    <xdr:sp macro="" textlink="">
      <xdr:nvSpPr>
        <xdr:cNvPr id="8" name="Rechthoek: afgeronde hoeken 92">
          <a:extLst>
            <a:ext uri="{FF2B5EF4-FFF2-40B4-BE49-F238E27FC236}">
              <a16:creationId xmlns:a16="http://schemas.microsoft.com/office/drawing/2014/main" id="{3A9B7AE9-7D7E-430D-8923-4D951959DE38}"/>
            </a:ext>
          </a:extLst>
        </xdr:cNvPr>
        <xdr:cNvSpPr/>
      </xdr:nvSpPr>
      <xdr:spPr>
        <a:xfrm>
          <a:off x="920787" y="4966166"/>
          <a:ext cx="4939889" cy="479893"/>
        </a:xfrm>
        <a:prstGeom prst="roundRect">
          <a:avLst/>
        </a:prstGeom>
        <a:solidFill>
          <a:schemeClr val="accent6">
            <a:lumMod val="20000"/>
            <a:lumOff val="80000"/>
          </a:schemeClr>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5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Weet je niet wat het gewicht per categorie is? Vul dan hier het totaal in. De gemiddelde verdeling van Nederland zal gebruikt worden.</a:t>
          </a:r>
        </a:p>
      </xdr:txBody>
    </xdr:sp>
    <xdr:clientData/>
  </xdr:twoCellAnchor>
  <xdr:twoCellAnchor>
    <xdr:from>
      <xdr:col>1</xdr:col>
      <xdr:colOff>2257764</xdr:colOff>
      <xdr:row>72</xdr:row>
      <xdr:rowOff>145942</xdr:rowOff>
    </xdr:from>
    <xdr:to>
      <xdr:col>2</xdr:col>
      <xdr:colOff>1782884</xdr:colOff>
      <xdr:row>76</xdr:row>
      <xdr:rowOff>37508</xdr:rowOff>
    </xdr:to>
    <xdr:sp macro="" textlink="$B$99">
      <xdr:nvSpPr>
        <xdr:cNvPr id="22" name="Rechthoek: afgeronde hoeken 52">
          <a:extLst>
            <a:ext uri="{FF2B5EF4-FFF2-40B4-BE49-F238E27FC236}">
              <a16:creationId xmlns:a16="http://schemas.microsoft.com/office/drawing/2014/main" id="{2DA9127A-8694-4816-8742-F2149FB3D9B3}"/>
            </a:ext>
          </a:extLst>
        </xdr:cNvPr>
        <xdr:cNvSpPr/>
      </xdr:nvSpPr>
      <xdr:spPr>
        <a:xfrm>
          <a:off x="3176646" y="12909442"/>
          <a:ext cx="2315385" cy="519095"/>
        </a:xfrm>
        <a:prstGeom prst="roundRect">
          <a:avLst>
            <a:gd name="adj" fmla="val 10173"/>
          </a:avLst>
        </a:prstGeom>
        <a:solidFill>
          <a:srgbClr val="B9DF39"/>
        </a:solidFill>
        <a:ln w="571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151328CB-3271-4AF8-84C0-B0FE393C6A4E}" type="TxLink">
            <a:rPr lang="en-US" sz="1100" b="0" i="0" u="none" strike="noStrike">
              <a:solidFill>
                <a:schemeClr val="accent1"/>
              </a:solidFill>
              <a:latin typeface="Verdana" panose="020B0604030504040204" pitchFamily="34" charset="0"/>
              <a:ea typeface="Verdana" panose="020B0604030504040204" pitchFamily="34" charset="0"/>
            </a:rPr>
            <a:pPr algn="l"/>
            <a:t>Totaal scenario met kringloop 0 ton CO2.</a:t>
          </a:fld>
          <a:endParaRPr lang="nl-NL" sz="1100" b="1" baseline="0">
            <a:solidFill>
              <a:schemeClr val="accent1"/>
            </a:solidFill>
            <a:latin typeface="Verdana" panose="020B0604030504040204" pitchFamily="34" charset="0"/>
            <a:ea typeface="Verdana" panose="020B0604030504040204" pitchFamily="34" charset="0"/>
          </a:endParaRPr>
        </a:p>
      </xdr:txBody>
    </xdr:sp>
    <xdr:clientData/>
  </xdr:twoCellAnchor>
  <xdr:twoCellAnchor>
    <xdr:from>
      <xdr:col>3</xdr:col>
      <xdr:colOff>250202</xdr:colOff>
      <xdr:row>72</xdr:row>
      <xdr:rowOff>138496</xdr:rowOff>
    </xdr:from>
    <xdr:to>
      <xdr:col>5</xdr:col>
      <xdr:colOff>186760</xdr:colOff>
      <xdr:row>76</xdr:row>
      <xdr:rowOff>35719</xdr:rowOff>
    </xdr:to>
    <xdr:sp macro="" textlink="$B$100">
      <xdr:nvSpPr>
        <xdr:cNvPr id="24" name="Rechthoek: afgeronde hoeken 52">
          <a:extLst>
            <a:ext uri="{FF2B5EF4-FFF2-40B4-BE49-F238E27FC236}">
              <a16:creationId xmlns:a16="http://schemas.microsoft.com/office/drawing/2014/main" id="{23F109C6-8981-4917-BA62-04F11CC7A185}"/>
            </a:ext>
          </a:extLst>
        </xdr:cNvPr>
        <xdr:cNvSpPr/>
      </xdr:nvSpPr>
      <xdr:spPr>
        <a:xfrm>
          <a:off x="5940779" y="13021669"/>
          <a:ext cx="2464346" cy="532223"/>
        </a:xfrm>
        <a:prstGeom prst="roundRect">
          <a:avLst>
            <a:gd name="adj" fmla="val 10173"/>
          </a:avLst>
        </a:prstGeom>
        <a:solidFill>
          <a:srgbClr val="B9DF39"/>
        </a:solidFill>
        <a:ln w="571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DB1CA16A-B127-4CAC-A829-9FF22260AF58}" type="TxLink">
            <a:rPr lang="en-US" sz="1100" b="0" i="0" u="none" strike="noStrike">
              <a:solidFill>
                <a:srgbClr val="181A35"/>
              </a:solidFill>
              <a:latin typeface="Verdana" panose="020B0604030504040204" pitchFamily="34" charset="0"/>
              <a:ea typeface="Verdana" panose="020B0604030504040204" pitchFamily="34" charset="0"/>
            </a:rPr>
            <a:pPr algn="l"/>
            <a:t>Totaal scenario zonder kringloop 0 ton CO2.</a:t>
          </a:fld>
          <a:endParaRPr lang="nl-NL" sz="1100" b="1" baseline="0">
            <a:solidFill>
              <a:schemeClr val="accent1"/>
            </a:solidFill>
            <a:latin typeface="Verdana" panose="020B0604030504040204" pitchFamily="34" charset="0"/>
            <a:ea typeface="Verdana" panose="020B0604030504040204" pitchFamily="34" charset="0"/>
          </a:endParaRPr>
        </a:p>
      </xdr:txBody>
    </xdr:sp>
    <xdr:clientData/>
  </xdr:twoCellAnchor>
  <xdr:twoCellAnchor editAs="oneCell">
    <xdr:from>
      <xdr:col>12</xdr:col>
      <xdr:colOff>209167</xdr:colOff>
      <xdr:row>53</xdr:row>
      <xdr:rowOff>14432</xdr:rowOff>
    </xdr:from>
    <xdr:to>
      <xdr:col>12</xdr:col>
      <xdr:colOff>820090</xdr:colOff>
      <xdr:row>56</xdr:row>
      <xdr:rowOff>136291</xdr:rowOff>
    </xdr:to>
    <xdr:pic>
      <xdr:nvPicPr>
        <xdr:cNvPr id="53" name="Picture 35">
          <a:extLst>
            <a:ext uri="{FF2B5EF4-FFF2-40B4-BE49-F238E27FC236}">
              <a16:creationId xmlns:a16="http://schemas.microsoft.com/office/drawing/2014/main" id="{AF239DC1-9FEC-4AB4-2D98-8A4D93E909C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622349" y="9871364"/>
          <a:ext cx="602973" cy="609539"/>
        </a:xfrm>
        <a:prstGeom prst="rect">
          <a:avLst/>
        </a:prstGeom>
      </xdr:spPr>
    </xdr:pic>
    <xdr:clientData/>
  </xdr:twoCellAnchor>
  <xdr:twoCellAnchor editAs="oneCell">
    <xdr:from>
      <xdr:col>7</xdr:col>
      <xdr:colOff>904013</xdr:colOff>
      <xdr:row>11</xdr:row>
      <xdr:rowOff>128257</xdr:rowOff>
    </xdr:from>
    <xdr:to>
      <xdr:col>7</xdr:col>
      <xdr:colOff>1508630</xdr:colOff>
      <xdr:row>14</xdr:row>
      <xdr:rowOff>150237</xdr:rowOff>
    </xdr:to>
    <xdr:pic>
      <xdr:nvPicPr>
        <xdr:cNvPr id="19" name="Picture 18">
          <a:extLst>
            <a:ext uri="{FF2B5EF4-FFF2-40B4-BE49-F238E27FC236}">
              <a16:creationId xmlns:a16="http://schemas.microsoft.com/office/drawing/2014/main" id="{B6FF04F3-059E-22D3-2FC0-4476F2B16C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235837" y="3030581"/>
          <a:ext cx="600807" cy="593480"/>
        </a:xfrm>
        <a:prstGeom prst="rect">
          <a:avLst/>
        </a:prstGeom>
      </xdr:spPr>
    </xdr:pic>
    <xdr:clientData/>
  </xdr:twoCellAnchor>
  <xdr:twoCellAnchor editAs="oneCell">
    <xdr:from>
      <xdr:col>7</xdr:col>
      <xdr:colOff>932891</xdr:colOff>
      <xdr:row>18</xdr:row>
      <xdr:rowOff>1331</xdr:rowOff>
    </xdr:from>
    <xdr:to>
      <xdr:col>7</xdr:col>
      <xdr:colOff>1463945</xdr:colOff>
      <xdr:row>21</xdr:row>
      <xdr:rowOff>899</xdr:rowOff>
    </xdr:to>
    <xdr:pic>
      <xdr:nvPicPr>
        <xdr:cNvPr id="25" name="Picture 24">
          <a:extLst>
            <a:ext uri="{FF2B5EF4-FFF2-40B4-BE49-F238E27FC236}">
              <a16:creationId xmlns:a16="http://schemas.microsoft.com/office/drawing/2014/main" id="{881742F4-78A9-D05F-A2EE-9C00DDA541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64715" y="4113890"/>
          <a:ext cx="534864" cy="526244"/>
        </a:xfrm>
        <a:prstGeom prst="rect">
          <a:avLst/>
        </a:prstGeom>
      </xdr:spPr>
    </xdr:pic>
    <xdr:clientData/>
  </xdr:twoCellAnchor>
  <xdr:twoCellAnchor editAs="oneCell">
    <xdr:from>
      <xdr:col>3</xdr:col>
      <xdr:colOff>284150</xdr:colOff>
      <xdr:row>22</xdr:row>
      <xdr:rowOff>59232</xdr:rowOff>
    </xdr:from>
    <xdr:to>
      <xdr:col>3</xdr:col>
      <xdr:colOff>1025059</xdr:colOff>
      <xdr:row>26</xdr:row>
      <xdr:rowOff>136978</xdr:rowOff>
    </xdr:to>
    <xdr:pic>
      <xdr:nvPicPr>
        <xdr:cNvPr id="30" name="Picture 29">
          <a:extLst>
            <a:ext uri="{FF2B5EF4-FFF2-40B4-BE49-F238E27FC236}">
              <a16:creationId xmlns:a16="http://schemas.microsoft.com/office/drawing/2014/main" id="{36AC7364-C90F-81D7-6EF6-97C986BE6A1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976738" y="4866556"/>
          <a:ext cx="740909" cy="712895"/>
        </a:xfrm>
        <a:prstGeom prst="rect">
          <a:avLst/>
        </a:prstGeom>
      </xdr:spPr>
    </xdr:pic>
    <xdr:clientData/>
  </xdr:twoCellAnchor>
  <xdr:twoCellAnchor>
    <xdr:from>
      <xdr:col>7</xdr:col>
      <xdr:colOff>177163</xdr:colOff>
      <xdr:row>36</xdr:row>
      <xdr:rowOff>61866</xdr:rowOff>
    </xdr:from>
    <xdr:to>
      <xdr:col>14</xdr:col>
      <xdr:colOff>484539</xdr:colOff>
      <xdr:row>46</xdr:row>
      <xdr:rowOff>100852</xdr:rowOff>
    </xdr:to>
    <xdr:sp macro="" textlink="$B$98">
      <xdr:nvSpPr>
        <xdr:cNvPr id="548" name="Rechthoek: afgeronde hoeken 52">
          <a:extLst>
            <a:ext uri="{FF2B5EF4-FFF2-40B4-BE49-F238E27FC236}">
              <a16:creationId xmlns:a16="http://schemas.microsoft.com/office/drawing/2014/main" id="{ED63D013-630B-4AE7-BF5D-BFA603639EC7}"/>
            </a:ext>
          </a:extLst>
        </xdr:cNvPr>
        <xdr:cNvSpPr/>
      </xdr:nvSpPr>
      <xdr:spPr>
        <a:xfrm>
          <a:off x="10508987" y="7110366"/>
          <a:ext cx="7748081" cy="1607810"/>
        </a:xfrm>
        <a:prstGeom prst="roundRect">
          <a:avLst>
            <a:gd name="adj" fmla="val 10173"/>
          </a:avLst>
        </a:prstGeom>
        <a:solidFill>
          <a:schemeClr val="accent3">
            <a:lumMod val="20000"/>
            <a:lumOff val="80000"/>
          </a:schemeClr>
        </a:solidFill>
        <a:ln w="571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5FCDFC10-0F41-4D9C-8DB5-9BCED335E13A}" type="TxLink">
            <a:rPr lang="en-US" sz="2000" b="0" i="0" u="none" strike="noStrike">
              <a:solidFill>
                <a:schemeClr val="accent1"/>
              </a:solidFill>
              <a:latin typeface="Verdana" panose="020B0604030504040204" pitchFamily="34" charset="0"/>
              <a:ea typeface="Verdana" panose="020B0604030504040204" pitchFamily="34" charset="0"/>
            </a:rPr>
            <a:pPr algn="l"/>
            <a:t>Deze kringlooporganisatie heeft afgelopen jaar 0 ton CO2 bespaard!</a:t>
          </a:fld>
          <a:endParaRPr lang="en-US" sz="2000" b="0" i="0" u="none" strike="noStrike">
            <a:solidFill>
              <a:schemeClr val="accent1"/>
            </a:solidFill>
            <a:latin typeface="Verdana" panose="020B0604030504040204" pitchFamily="34" charset="0"/>
            <a:ea typeface="Verdana" panose="020B0604030504040204" pitchFamily="34" charset="0"/>
          </a:endParaRPr>
        </a:p>
        <a:p>
          <a:pPr algn="l"/>
          <a:endParaRPr lang="en-GB" sz="1800">
            <a:solidFill>
              <a:schemeClr val="accent1"/>
            </a:solidFill>
            <a:effectLst/>
            <a:latin typeface="Verdana" panose="020B0604030504040204" pitchFamily="34" charset="0"/>
            <a:ea typeface="Verdana" panose="020B0604030504040204" pitchFamily="34" charset="0"/>
          </a:endParaRPr>
        </a:p>
        <a:p>
          <a:r>
            <a:rPr lang="nl-NL" sz="1200">
              <a:solidFill>
                <a:schemeClr val="accent1"/>
              </a:solidFill>
              <a:effectLst/>
              <a:latin typeface="Verdana" panose="020B0604030504040204" pitchFamily="34" charset="0"/>
              <a:ea typeface="Verdana" panose="020B0604030504040204" pitchFamily="34" charset="0"/>
              <a:cs typeface="+mn-cs"/>
            </a:rPr>
            <a:t>Dit is bepaald door het verschil in impact te berekenen tussen een scenario met kringlooporganisatie en een scenario zonder kringlooporganisatie in de maatschappij.</a:t>
          </a:r>
          <a:endParaRPr lang="en-GB" sz="4400">
            <a:solidFill>
              <a:schemeClr val="accent1"/>
            </a:solidFill>
            <a:effectLst/>
            <a:latin typeface="Verdana" panose="020B0604030504040204" pitchFamily="34" charset="0"/>
            <a:ea typeface="Verdana" panose="020B0604030504040204" pitchFamily="34" charset="0"/>
          </a:endParaRPr>
        </a:p>
        <a:p>
          <a:pPr algn="l"/>
          <a:endParaRPr lang="nl-NL" sz="4400" b="0" baseline="0">
            <a:solidFill>
              <a:schemeClr val="accent1"/>
            </a:solidFill>
            <a:latin typeface="Verdana" panose="020B0604030504040204" pitchFamily="34" charset="0"/>
            <a:ea typeface="Verdana" panose="020B0604030504040204" pitchFamily="34" charset="0"/>
          </a:endParaRPr>
        </a:p>
      </xdr:txBody>
    </xdr:sp>
    <xdr:clientData/>
  </xdr:twoCellAnchor>
  <xdr:twoCellAnchor>
    <xdr:from>
      <xdr:col>5</xdr:col>
      <xdr:colOff>430368</xdr:colOff>
      <xdr:row>41</xdr:row>
      <xdr:rowOff>85169</xdr:rowOff>
    </xdr:from>
    <xdr:to>
      <xdr:col>7</xdr:col>
      <xdr:colOff>169543</xdr:colOff>
      <xdr:row>57</xdr:row>
      <xdr:rowOff>113508</xdr:rowOff>
    </xdr:to>
    <xdr:cxnSp macro="">
      <xdr:nvCxnSpPr>
        <xdr:cNvPr id="50" name="Verbindingslijn: gekromd 26">
          <a:extLst>
            <a:ext uri="{FF2B5EF4-FFF2-40B4-BE49-F238E27FC236}">
              <a16:creationId xmlns:a16="http://schemas.microsoft.com/office/drawing/2014/main" id="{8E923246-A341-4B28-AA77-AE40C6685887}"/>
            </a:ext>
          </a:extLst>
        </xdr:cNvPr>
        <xdr:cNvCxnSpPr>
          <a:stCxn id="21" idx="3"/>
          <a:endCxn id="548" idx="1"/>
        </xdr:cNvCxnSpPr>
      </xdr:nvCxnSpPr>
      <xdr:spPr>
        <a:xfrm flipV="1">
          <a:off x="8651676" y="7914271"/>
          <a:ext cx="1857311" cy="2542266"/>
        </a:xfrm>
        <a:prstGeom prst="curvedConnector3">
          <a:avLst>
            <a:gd name="adj1" fmla="val 50000"/>
          </a:avLst>
        </a:prstGeom>
        <a:ln w="38100">
          <a:solidFill>
            <a:schemeClr val="accent3">
              <a:lumMod val="20000"/>
              <a:lumOff val="8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646395</xdr:colOff>
      <xdr:row>69</xdr:row>
      <xdr:rowOff>92439</xdr:rowOff>
    </xdr:from>
    <xdr:to>
      <xdr:col>18</xdr:col>
      <xdr:colOff>689473</xdr:colOff>
      <xdr:row>76</xdr:row>
      <xdr:rowOff>12211</xdr:rowOff>
    </xdr:to>
    <xdr:sp macro="" textlink="">
      <xdr:nvSpPr>
        <xdr:cNvPr id="554" name="Rechthoek: afgeronde hoeken 92">
          <a:extLst>
            <a:ext uri="{FF2B5EF4-FFF2-40B4-BE49-F238E27FC236}">
              <a16:creationId xmlns:a16="http://schemas.microsoft.com/office/drawing/2014/main" id="{5874699B-8A39-462F-9408-136A3224B8DF}"/>
            </a:ext>
          </a:extLst>
        </xdr:cNvPr>
        <xdr:cNvSpPr/>
      </xdr:nvSpPr>
      <xdr:spPr>
        <a:xfrm>
          <a:off x="18988126" y="13158785"/>
          <a:ext cx="2937212" cy="1116503"/>
        </a:xfrm>
        <a:prstGeom prst="roundRect">
          <a:avLst/>
        </a:prstGeom>
        <a:solidFill>
          <a:schemeClr val="accent3">
            <a:lumMod val="20000"/>
            <a:lumOff val="80000"/>
          </a:schemeClr>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Deze figuur laat zien hoe de verschillende productcategorieen bijdragen aan deze milieuwinst. Hoe groter de balk is, hoe groter de bijdrage aan de CO</a:t>
          </a:r>
          <a:r>
            <a:rPr kumimoji="0" lang="nl-NL" sz="1100" b="0" i="0" u="none" strike="noStrike" kern="0" cap="none" spc="0" normalizeH="0" baseline="-25000" noProof="0">
              <a:ln>
                <a:noFill/>
              </a:ln>
              <a:solidFill>
                <a:schemeClr val="tx2"/>
              </a:solidFill>
              <a:effectLst/>
              <a:uLnTx/>
              <a:uFillTx/>
              <a:latin typeface="Verdana" panose="020B0604030504040204" pitchFamily="34" charset="0"/>
              <a:ea typeface="Verdana" panose="020B0604030504040204" pitchFamily="34" charset="0"/>
              <a:cs typeface="+mn-cs"/>
            </a:rPr>
            <a:t>2</a:t>
          </a:r>
          <a:r>
            <a:rPr kumimoji="0" lang="nl-NL" sz="110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-besparing.</a:t>
          </a:r>
        </a:p>
      </xdr:txBody>
    </xdr:sp>
    <xdr:clientData/>
  </xdr:twoCellAnchor>
  <xdr:twoCellAnchor editAs="oneCell">
    <xdr:from>
      <xdr:col>0</xdr:col>
      <xdr:colOff>891988</xdr:colOff>
      <xdr:row>6</xdr:row>
      <xdr:rowOff>67236</xdr:rowOff>
    </xdr:from>
    <xdr:to>
      <xdr:col>1</xdr:col>
      <xdr:colOff>515663</xdr:colOff>
      <xdr:row>8</xdr:row>
      <xdr:rowOff>95170</xdr:rowOff>
    </xdr:to>
    <xdr:pic>
      <xdr:nvPicPr>
        <xdr:cNvPr id="565" name="Graphic 564" descr="Checkbox Checked with solid fill">
          <a:extLst>
            <a:ext uri="{FF2B5EF4-FFF2-40B4-BE49-F238E27FC236}">
              <a16:creationId xmlns:a16="http://schemas.microsoft.com/office/drawing/2014/main" id="{289B1692-98A8-675C-A4C5-4580B6096AFC}"/>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891988" y="1008530"/>
          <a:ext cx="533032" cy="508106"/>
        </a:xfrm>
        <a:prstGeom prst="rect">
          <a:avLst/>
        </a:prstGeom>
      </xdr:spPr>
    </xdr:pic>
    <xdr:clientData/>
  </xdr:twoCellAnchor>
  <xdr:twoCellAnchor editAs="oneCell">
    <xdr:from>
      <xdr:col>1</xdr:col>
      <xdr:colOff>27213</xdr:colOff>
      <xdr:row>31</xdr:row>
      <xdr:rowOff>16327</xdr:rowOff>
    </xdr:from>
    <xdr:to>
      <xdr:col>1</xdr:col>
      <xdr:colOff>474072</xdr:colOff>
      <xdr:row>33</xdr:row>
      <xdr:rowOff>134710</xdr:rowOff>
    </xdr:to>
    <xdr:pic>
      <xdr:nvPicPr>
        <xdr:cNvPr id="567" name="Graphic 566" descr="Bar chart with solid fill">
          <a:extLst>
            <a:ext uri="{FF2B5EF4-FFF2-40B4-BE49-F238E27FC236}">
              <a16:creationId xmlns:a16="http://schemas.microsoft.com/office/drawing/2014/main" id="{BB65C476-B853-5A04-6625-FF63FB17549E}"/>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938892" y="6398077"/>
          <a:ext cx="435429" cy="435429"/>
        </a:xfrm>
        <a:prstGeom prst="rect">
          <a:avLst/>
        </a:prstGeom>
      </xdr:spPr>
    </xdr:pic>
    <xdr:clientData/>
  </xdr:twoCellAnchor>
  <xdr:twoCellAnchor>
    <xdr:from>
      <xdr:col>1</xdr:col>
      <xdr:colOff>1327876</xdr:colOff>
      <xdr:row>21</xdr:row>
      <xdr:rowOff>130625</xdr:rowOff>
    </xdr:from>
    <xdr:to>
      <xdr:col>2</xdr:col>
      <xdr:colOff>203218</xdr:colOff>
      <xdr:row>26</xdr:row>
      <xdr:rowOff>35032</xdr:rowOff>
    </xdr:to>
    <xdr:sp macro="" textlink="">
      <xdr:nvSpPr>
        <xdr:cNvPr id="568" name="Arc 37">
          <a:extLst>
            <a:ext uri="{FF2B5EF4-FFF2-40B4-BE49-F238E27FC236}">
              <a16:creationId xmlns:a16="http://schemas.microsoft.com/office/drawing/2014/main" id="{E854DCB5-7CA4-4C86-846B-381DD9B97D77}"/>
            </a:ext>
          </a:extLst>
        </xdr:cNvPr>
        <xdr:cNvSpPr/>
      </xdr:nvSpPr>
      <xdr:spPr>
        <a:xfrm rot="13094085" flipH="1">
          <a:off x="2246758" y="4769860"/>
          <a:ext cx="1665607" cy="700025"/>
        </a:xfrm>
        <a:prstGeom prst="arc">
          <a:avLst>
            <a:gd name="adj1" fmla="val 18034613"/>
            <a:gd name="adj2" fmla="val 20990516"/>
          </a:avLst>
        </a:prstGeom>
        <a:ln w="38100">
          <a:solidFill>
            <a:schemeClr val="accent3">
              <a:lumMod val="60000"/>
              <a:lumOff val="40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l-NL" sz="1100"/>
        </a:p>
      </xdr:txBody>
    </xdr:sp>
    <xdr:clientData/>
  </xdr:twoCellAnchor>
  <xdr:twoCellAnchor editAs="oneCell">
    <xdr:from>
      <xdr:col>13</xdr:col>
      <xdr:colOff>1424714</xdr:colOff>
      <xdr:row>44</xdr:row>
      <xdr:rowOff>63612</xdr:rowOff>
    </xdr:from>
    <xdr:to>
      <xdr:col>14</xdr:col>
      <xdr:colOff>745280</xdr:colOff>
      <xdr:row>49</xdr:row>
      <xdr:rowOff>132675</xdr:rowOff>
    </xdr:to>
    <xdr:pic>
      <xdr:nvPicPr>
        <xdr:cNvPr id="36" name="Picture 35">
          <a:extLst>
            <a:ext uri="{FF2B5EF4-FFF2-40B4-BE49-F238E27FC236}">
              <a16:creationId xmlns:a16="http://schemas.microsoft.com/office/drawing/2014/main" id="{F535CFF2-510B-3562-0700-794043932AC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673243" y="8367171"/>
          <a:ext cx="893199" cy="857285"/>
        </a:xfrm>
        <a:prstGeom prst="rect">
          <a:avLst/>
        </a:prstGeom>
      </xdr:spPr>
    </xdr:pic>
    <xdr:clientData/>
  </xdr:twoCellAnchor>
  <xdr:twoCellAnchor>
    <xdr:from>
      <xdr:col>0</xdr:col>
      <xdr:colOff>886369</xdr:colOff>
      <xdr:row>79</xdr:row>
      <xdr:rowOff>97157</xdr:rowOff>
    </xdr:from>
    <xdr:to>
      <xdr:col>1</xdr:col>
      <xdr:colOff>2839811</xdr:colOff>
      <xdr:row>85</xdr:row>
      <xdr:rowOff>0</xdr:rowOff>
    </xdr:to>
    <xdr:sp macro="" textlink="">
      <xdr:nvSpPr>
        <xdr:cNvPr id="15" name="Rechthoek: afgeronde hoeken 92">
          <a:extLst>
            <a:ext uri="{FF2B5EF4-FFF2-40B4-BE49-F238E27FC236}">
              <a16:creationId xmlns:a16="http://schemas.microsoft.com/office/drawing/2014/main" id="{1D67C77B-08C6-4812-892B-4765ACA12F79}"/>
            </a:ext>
          </a:extLst>
        </xdr:cNvPr>
        <xdr:cNvSpPr/>
      </xdr:nvSpPr>
      <xdr:spPr>
        <a:xfrm>
          <a:off x="886369" y="15269121"/>
          <a:ext cx="2892335" cy="964200"/>
        </a:xfrm>
        <a:prstGeom prst="roundRect">
          <a:avLst/>
        </a:prstGeom>
        <a:solidFill>
          <a:schemeClr val="accent3">
            <a:lumMod val="20000"/>
            <a:lumOff val="80000"/>
          </a:schemeClr>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Dit figuur laat zien dat door hergebruik en recycling van producten CO</a:t>
          </a:r>
          <a:r>
            <a:rPr kumimoji="0" lang="nl-NL" sz="1100" b="0" i="0" u="none" strike="noStrike" kern="0" cap="none" spc="0" normalizeH="0" baseline="-25000" noProof="0">
              <a:ln>
                <a:noFill/>
              </a:ln>
              <a:solidFill>
                <a:schemeClr val="tx2"/>
              </a:solidFill>
              <a:effectLst/>
              <a:uLnTx/>
              <a:uFillTx/>
              <a:latin typeface="Verdana" panose="020B0604030504040204" pitchFamily="34" charset="0"/>
              <a:ea typeface="Verdana" panose="020B0604030504040204" pitchFamily="34" charset="0"/>
              <a:cs typeface="+mn-cs"/>
            </a:rPr>
            <a:t>2</a:t>
          </a:r>
          <a:r>
            <a:rPr kumimoji="0" lang="nl-NL" sz="1100" b="0" i="0" u="none" strike="noStrike" kern="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-uitstoot wordt bespaard.</a:t>
          </a:r>
        </a:p>
      </xdr:txBody>
    </xdr:sp>
    <xdr:clientData/>
  </xdr:twoCellAnchor>
  <xdr:twoCellAnchor>
    <xdr:from>
      <xdr:col>1</xdr:col>
      <xdr:colOff>707570</xdr:colOff>
      <xdr:row>73</xdr:row>
      <xdr:rowOff>1</xdr:rowOff>
    </xdr:from>
    <xdr:to>
      <xdr:col>1</xdr:col>
      <xdr:colOff>1663767</xdr:colOff>
      <xdr:row>79</xdr:row>
      <xdr:rowOff>13608</xdr:rowOff>
    </xdr:to>
    <xdr:cxnSp macro="">
      <xdr:nvCxnSpPr>
        <xdr:cNvPr id="18" name="Verbindingslijn: gekromd 26">
          <a:extLst>
            <a:ext uri="{FF2B5EF4-FFF2-40B4-BE49-F238E27FC236}">
              <a16:creationId xmlns:a16="http://schemas.microsoft.com/office/drawing/2014/main" id="{AD80D9E4-F4B4-4D1C-AE43-9329A01C2C88}"/>
            </a:ext>
          </a:extLst>
        </xdr:cNvPr>
        <xdr:cNvCxnSpPr/>
      </xdr:nvCxnSpPr>
      <xdr:spPr>
        <a:xfrm rot="5400000" flipH="1" flipV="1">
          <a:off x="1587080" y="14169991"/>
          <a:ext cx="1074964" cy="956197"/>
        </a:xfrm>
        <a:prstGeom prst="curvedConnector3">
          <a:avLst>
            <a:gd name="adj1" fmla="val 50000"/>
          </a:avLst>
        </a:prstGeom>
        <a:ln w="38100">
          <a:solidFill>
            <a:schemeClr val="accent3">
              <a:lumMod val="20000"/>
              <a:lumOff val="8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252633</xdr:colOff>
      <xdr:row>38</xdr:row>
      <xdr:rowOff>132422</xdr:rowOff>
    </xdr:from>
    <xdr:to>
      <xdr:col>13</xdr:col>
      <xdr:colOff>1296328</xdr:colOff>
      <xdr:row>38</xdr:row>
      <xdr:rowOff>146539</xdr:rowOff>
    </xdr:to>
    <xdr:cxnSp macro="">
      <xdr:nvCxnSpPr>
        <xdr:cNvPr id="10" name="Rechte verbindingslijn 9">
          <a:extLst>
            <a:ext uri="{FF2B5EF4-FFF2-40B4-BE49-F238E27FC236}">
              <a16:creationId xmlns:a16="http://schemas.microsoft.com/office/drawing/2014/main" id="{77415C6F-48C0-4944-6E7C-5917C19F8F26}"/>
            </a:ext>
          </a:extLst>
        </xdr:cNvPr>
        <xdr:cNvCxnSpPr/>
      </xdr:nvCxnSpPr>
      <xdr:spPr>
        <a:xfrm flipV="1">
          <a:off x="16970229" y="7874537"/>
          <a:ext cx="1043695" cy="14117"/>
        </a:xfrm>
        <a:prstGeom prst="line">
          <a:avLst/>
        </a:prstGeom>
        <a:ln w="38100"/>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31527</xdr:colOff>
      <xdr:row>23</xdr:row>
      <xdr:rowOff>44334</xdr:rowOff>
    </xdr:from>
    <xdr:to>
      <xdr:col>3</xdr:col>
      <xdr:colOff>403309</xdr:colOff>
      <xdr:row>25</xdr:row>
      <xdr:rowOff>149763</xdr:rowOff>
    </xdr:to>
    <xdr:sp macro="" textlink="">
      <xdr:nvSpPr>
        <xdr:cNvPr id="680" name="Rechthoek: afgeronde hoeken 92">
          <a:extLst>
            <a:ext uri="{FF2B5EF4-FFF2-40B4-BE49-F238E27FC236}">
              <a16:creationId xmlns:a16="http://schemas.microsoft.com/office/drawing/2014/main" id="{E3907162-6D3E-47AE-904F-794EF75CBAD0}"/>
            </a:ext>
          </a:extLst>
        </xdr:cNvPr>
        <xdr:cNvSpPr/>
      </xdr:nvSpPr>
      <xdr:spPr>
        <a:xfrm>
          <a:off x="641127" y="3854334"/>
          <a:ext cx="3855211" cy="432000"/>
        </a:xfrm>
        <a:prstGeom prst="roundRect">
          <a:avLst/>
        </a:prstGeom>
        <a:solidFill>
          <a:schemeClr val="accent4"/>
        </a:solid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xdr:col>
      <xdr:colOff>60786</xdr:colOff>
      <xdr:row>23</xdr:row>
      <xdr:rowOff>126250</xdr:rowOff>
    </xdr:from>
    <xdr:to>
      <xdr:col>3</xdr:col>
      <xdr:colOff>268940</xdr:colOff>
      <xdr:row>25</xdr:row>
      <xdr:rowOff>11206</xdr:rowOff>
    </xdr:to>
    <xdr:sp macro="" textlink="">
      <xdr:nvSpPr>
        <xdr:cNvPr id="6" name="Tijdelijke aanduiding voor inhoud 1">
          <a:extLst>
            <a:ext uri="{FF2B5EF4-FFF2-40B4-BE49-F238E27FC236}">
              <a16:creationId xmlns:a16="http://schemas.microsoft.com/office/drawing/2014/main" id="{684C6D17-C78A-4182-94C1-86A26DD33CF2}"/>
            </a:ext>
          </a:extLst>
        </xdr:cNvPr>
        <xdr:cNvSpPr>
          <a:spLocks noGrp="1"/>
        </xdr:cNvSpPr>
      </xdr:nvSpPr>
      <xdr:spPr>
        <a:xfrm>
          <a:off x="665904" y="4328456"/>
          <a:ext cx="3704389" cy="221132"/>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400" b="1" baseline="0">
              <a:solidFill>
                <a:schemeClr val="bg1"/>
              </a:solidFill>
              <a:latin typeface="Verdana" panose="020B0604030504040204" pitchFamily="34" charset="0"/>
              <a:ea typeface="Verdana" panose="020B0604030504040204" pitchFamily="34" charset="0"/>
            </a:rPr>
            <a:t>Scenario met kringlooporganisatie</a:t>
          </a:r>
        </a:p>
        <a:p>
          <a:pPr marL="0" indent="0">
            <a:buNone/>
          </a:pPr>
          <a:endParaRPr lang="nl-NL" sz="1800">
            <a:solidFill>
              <a:schemeClr val="bg1"/>
            </a:solidFill>
          </a:endParaRPr>
        </a:p>
      </xdr:txBody>
    </xdr:sp>
    <xdr:clientData/>
  </xdr:twoCellAnchor>
  <xdr:twoCellAnchor>
    <xdr:from>
      <xdr:col>1</xdr:col>
      <xdr:colOff>21942</xdr:colOff>
      <xdr:row>42</xdr:row>
      <xdr:rowOff>59359</xdr:rowOff>
    </xdr:from>
    <xdr:to>
      <xdr:col>3</xdr:col>
      <xdr:colOff>504264</xdr:colOff>
      <xdr:row>44</xdr:row>
      <xdr:rowOff>162882</xdr:rowOff>
    </xdr:to>
    <xdr:sp macro="" textlink="">
      <xdr:nvSpPr>
        <xdr:cNvPr id="684" name="Rechthoek: afgeronde hoeken 92">
          <a:extLst>
            <a:ext uri="{FF2B5EF4-FFF2-40B4-BE49-F238E27FC236}">
              <a16:creationId xmlns:a16="http://schemas.microsoft.com/office/drawing/2014/main" id="{586FA9DD-CF47-43B9-8C5F-4D322ED26D2C}"/>
            </a:ext>
          </a:extLst>
        </xdr:cNvPr>
        <xdr:cNvSpPr/>
      </xdr:nvSpPr>
      <xdr:spPr>
        <a:xfrm>
          <a:off x="627060" y="7791418"/>
          <a:ext cx="3978557" cy="439699"/>
        </a:xfrm>
        <a:prstGeom prst="roundRect">
          <a:avLst/>
        </a:prstGeom>
        <a:solidFill>
          <a:schemeClr val="accent4"/>
        </a:solid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xdr:col>
      <xdr:colOff>78613</xdr:colOff>
      <xdr:row>42</xdr:row>
      <xdr:rowOff>135799</xdr:rowOff>
    </xdr:from>
    <xdr:to>
      <xdr:col>3</xdr:col>
      <xdr:colOff>524771</xdr:colOff>
      <xdr:row>44</xdr:row>
      <xdr:rowOff>107576</xdr:rowOff>
    </xdr:to>
    <xdr:sp macro="" textlink="">
      <xdr:nvSpPr>
        <xdr:cNvPr id="11" name="Tijdelijke aanduiding voor inhoud 1">
          <a:extLst>
            <a:ext uri="{FF2B5EF4-FFF2-40B4-BE49-F238E27FC236}">
              <a16:creationId xmlns:a16="http://schemas.microsoft.com/office/drawing/2014/main" id="{8E5664AB-8BCD-4B91-AAB6-62557D0A64A3}"/>
            </a:ext>
          </a:extLst>
        </xdr:cNvPr>
        <xdr:cNvSpPr>
          <a:spLocks noGrp="1"/>
        </xdr:cNvSpPr>
      </xdr:nvSpPr>
      <xdr:spPr>
        <a:xfrm>
          <a:off x="688213" y="7486858"/>
          <a:ext cx="3933429" cy="312436"/>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400" b="1" baseline="0">
              <a:solidFill>
                <a:schemeClr val="bg1"/>
              </a:solidFill>
              <a:latin typeface="Verdana" panose="020B0604030504040204" pitchFamily="34" charset="0"/>
              <a:ea typeface="Verdana" panose="020B0604030504040204" pitchFamily="34" charset="0"/>
            </a:rPr>
            <a:t>Scenario zonder kringlooporganisatie</a:t>
          </a:r>
        </a:p>
        <a:p>
          <a:pPr marL="0" indent="0">
            <a:buNone/>
          </a:pPr>
          <a:endParaRPr lang="nl-NL" sz="1800">
            <a:solidFill>
              <a:schemeClr val="bg1"/>
            </a:solidFill>
          </a:endParaRPr>
        </a:p>
      </xdr:txBody>
    </xdr:sp>
    <xdr:clientData/>
  </xdr:twoCellAnchor>
  <xdr:twoCellAnchor>
    <xdr:from>
      <xdr:col>0</xdr:col>
      <xdr:colOff>18590</xdr:colOff>
      <xdr:row>0</xdr:row>
      <xdr:rowOff>38100</xdr:rowOff>
    </xdr:from>
    <xdr:to>
      <xdr:col>10</xdr:col>
      <xdr:colOff>792480</xdr:colOff>
      <xdr:row>4</xdr:row>
      <xdr:rowOff>82038</xdr:rowOff>
    </xdr:to>
    <xdr:sp macro="" textlink="">
      <xdr:nvSpPr>
        <xdr:cNvPr id="286" name="TextBox 5">
          <a:extLst>
            <a:ext uri="{FF2B5EF4-FFF2-40B4-BE49-F238E27FC236}">
              <a16:creationId xmlns:a16="http://schemas.microsoft.com/office/drawing/2014/main" id="{7EA8436A-18B0-4E57-BF37-A6D8A48692A2}"/>
            </a:ext>
          </a:extLst>
        </xdr:cNvPr>
        <xdr:cNvSpPr txBox="1"/>
      </xdr:nvSpPr>
      <xdr:spPr>
        <a:xfrm>
          <a:off x="18590" y="38100"/>
          <a:ext cx="11038030" cy="714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3600" b="1">
              <a:solidFill>
                <a:schemeClr val="bg1"/>
              </a:solidFill>
              <a:latin typeface="+mj-lt"/>
            </a:rPr>
            <a:t>Scenario's: Met en zonder kringlooporganisatie</a:t>
          </a:r>
        </a:p>
        <a:p>
          <a:endParaRPr lang="nl-NL" sz="3600" b="1">
            <a:solidFill>
              <a:schemeClr val="bg1"/>
            </a:solidFill>
            <a:latin typeface="+mj-lt"/>
          </a:endParaRPr>
        </a:p>
      </xdr:txBody>
    </xdr:sp>
    <xdr:clientData/>
  </xdr:twoCellAnchor>
  <xdr:twoCellAnchor>
    <xdr:from>
      <xdr:col>18</xdr:col>
      <xdr:colOff>534828</xdr:colOff>
      <xdr:row>9</xdr:row>
      <xdr:rowOff>20372</xdr:rowOff>
    </xdr:from>
    <xdr:to>
      <xdr:col>21</xdr:col>
      <xdr:colOff>446928</xdr:colOff>
      <xdr:row>10</xdr:row>
      <xdr:rowOff>224118</xdr:rowOff>
    </xdr:to>
    <xdr:grpSp>
      <xdr:nvGrpSpPr>
        <xdr:cNvPr id="15" name="Groep 7">
          <a:extLst>
            <a:ext uri="{FF2B5EF4-FFF2-40B4-BE49-F238E27FC236}">
              <a16:creationId xmlns:a16="http://schemas.microsoft.com/office/drawing/2014/main" id="{DD4BB705-968D-4EF9-9BE8-A065ED1A4854}"/>
            </a:ext>
          </a:extLst>
        </xdr:cNvPr>
        <xdr:cNvGrpSpPr/>
      </xdr:nvGrpSpPr>
      <xdr:grpSpPr>
        <a:xfrm>
          <a:off x="16682504" y="1432313"/>
          <a:ext cx="1693836" cy="360629"/>
          <a:chOff x="112860" y="159285"/>
          <a:chExt cx="1744718" cy="452428"/>
        </a:xfrm>
      </xdr:grpSpPr>
      <xdr:grpSp>
        <xdr:nvGrpSpPr>
          <xdr:cNvPr id="16" name="Groep 28">
            <a:extLst>
              <a:ext uri="{FF2B5EF4-FFF2-40B4-BE49-F238E27FC236}">
                <a16:creationId xmlns:a16="http://schemas.microsoft.com/office/drawing/2014/main" id="{72BBA429-FE43-F167-5AEF-E8C3E07BB3DB}"/>
              </a:ext>
            </a:extLst>
          </xdr:cNvPr>
          <xdr:cNvGrpSpPr/>
        </xdr:nvGrpSpPr>
        <xdr:grpSpPr>
          <a:xfrm>
            <a:off x="112860" y="159285"/>
            <a:ext cx="1744718" cy="452428"/>
            <a:chOff x="3064565" y="11304970"/>
            <a:chExt cx="1703760" cy="522612"/>
          </a:xfrm>
        </xdr:grpSpPr>
        <xdr:sp macro="" textlink="">
          <xdr:nvSpPr>
            <xdr:cNvPr id="17" name="Rechthoek: afgeronde bovenhoeken 8">
              <a:extLst>
                <a:ext uri="{FF2B5EF4-FFF2-40B4-BE49-F238E27FC236}">
                  <a16:creationId xmlns:a16="http://schemas.microsoft.com/office/drawing/2014/main" id="{4AEDA49F-DAA8-4C59-C00A-71A4F74687A3}"/>
                </a:ext>
              </a:extLst>
            </xdr:cNvPr>
            <xdr:cNvSpPr/>
          </xdr:nvSpPr>
          <xdr:spPr>
            <a:xfrm rot="5400000">
              <a:off x="3778498" y="10837756"/>
              <a:ext cx="520853" cy="1458800"/>
            </a:xfrm>
            <a:prstGeom prst="round2SameRect">
              <a:avLst/>
            </a:prstGeom>
            <a:solidFill>
              <a:schemeClr val="accent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8" name="Rechthoek: afgeronde bovenhoeken 2">
              <a:extLst>
                <a:ext uri="{FF2B5EF4-FFF2-40B4-BE49-F238E27FC236}">
                  <a16:creationId xmlns:a16="http://schemas.microsoft.com/office/drawing/2014/main" id="{0A240261-7152-EB36-8D83-3C018CF9CF52}"/>
                </a:ext>
              </a:extLst>
            </xdr:cNvPr>
            <xdr:cNvSpPr/>
          </xdr:nvSpPr>
          <xdr:spPr>
            <a:xfrm rot="16200000">
              <a:off x="2949137" y="11420398"/>
              <a:ext cx="520806" cy="289950"/>
            </a:xfrm>
            <a:prstGeom prst="round2Same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9" name="Tekstvak 32">
              <a:hlinkClick xmlns:r="http://schemas.openxmlformats.org/officeDocument/2006/relationships" r:id="rId1"/>
              <a:extLst>
                <a:ext uri="{FF2B5EF4-FFF2-40B4-BE49-F238E27FC236}">
                  <a16:creationId xmlns:a16="http://schemas.microsoft.com/office/drawing/2014/main" id="{C434FCF2-B165-28B7-941C-DA0BA7E49423}"/>
                </a:ext>
              </a:extLst>
            </xdr:cNvPr>
            <xdr:cNvSpPr txBox="1"/>
          </xdr:nvSpPr>
          <xdr:spPr>
            <a:xfrm>
              <a:off x="3696582" y="11344852"/>
              <a:ext cx="1018390" cy="474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chemeClr val="bg1"/>
                  </a:solidFill>
                  <a:latin typeface="Verdana" panose="020B0604030504040204" pitchFamily="34" charset="0"/>
                  <a:ea typeface="Verdana" panose="020B0604030504040204" pitchFamily="34" charset="0"/>
                </a:rPr>
                <a:t>Cockpit</a:t>
              </a:r>
              <a:endParaRPr lang="nl-NL" sz="1800" b="1">
                <a:solidFill>
                  <a:schemeClr val="bg1"/>
                </a:solidFill>
                <a:latin typeface="Verdana" panose="020B0604030504040204" pitchFamily="34" charset="0"/>
                <a:ea typeface="Verdana" panose="020B0604030504040204" pitchFamily="34" charset="0"/>
              </a:endParaRPr>
            </a:p>
          </xdr:txBody>
        </xdr:sp>
      </xdr:grpSp>
      <xdr:sp macro="" textlink="">
        <xdr:nvSpPr>
          <xdr:cNvPr id="20" name="Graphic 13">
            <a:extLst>
              <a:ext uri="{FF2B5EF4-FFF2-40B4-BE49-F238E27FC236}">
                <a16:creationId xmlns:a16="http://schemas.microsoft.com/office/drawing/2014/main" id="{0CD40C4B-7FE3-DF86-FBB4-39DD6414DFC5}"/>
              </a:ext>
            </a:extLst>
          </xdr:cNvPr>
          <xdr:cNvSpPr/>
        </xdr:nvSpPr>
        <xdr:spPr>
          <a:xfrm>
            <a:off x="496595" y="263401"/>
            <a:ext cx="276588" cy="236072"/>
          </a:xfrm>
          <a:custGeom>
            <a:avLst/>
            <a:gdLst>
              <a:gd name="connsiteX0" fmla="*/ 4733801 w 4876800"/>
              <a:gd name="connsiteY0" fmla="*/ 4264670 h 4264669"/>
              <a:gd name="connsiteX1" fmla="*/ 4592993 w 4876800"/>
              <a:gd name="connsiteY1" fmla="*/ 4145274 h 4264669"/>
              <a:gd name="connsiteX2" fmla="*/ 2428237 w 4876800"/>
              <a:gd name="connsiteY2" fmla="*/ 2431174 h 4264669"/>
              <a:gd name="connsiteX3" fmla="*/ 2428237 w 4876800"/>
              <a:gd name="connsiteY3" fmla="*/ 3203585 h 4264669"/>
              <a:gd name="connsiteX4" fmla="*/ 2350742 w 4876800"/>
              <a:gd name="connsiteY4" fmla="*/ 3330629 h 4264669"/>
              <a:gd name="connsiteX5" fmla="*/ 2202314 w 4876800"/>
              <a:gd name="connsiteY5" fmla="*/ 3319847 h 4264669"/>
              <a:gd name="connsiteX6" fmla="*/ 59827 w 4876800"/>
              <a:gd name="connsiteY6" fmla="*/ 1789494 h 4264669"/>
              <a:gd name="connsiteX7" fmla="*/ 0 w 4876800"/>
              <a:gd name="connsiteY7" fmla="*/ 1673222 h 4264669"/>
              <a:gd name="connsiteX8" fmla="*/ 59827 w 4876800"/>
              <a:gd name="connsiteY8" fmla="*/ 1556960 h 4264669"/>
              <a:gd name="connsiteX9" fmla="*/ 2202323 w 4876800"/>
              <a:gd name="connsiteY9" fmla="*/ 26616 h 4264669"/>
              <a:gd name="connsiteX10" fmla="*/ 2350742 w 4876800"/>
              <a:gd name="connsiteY10" fmla="*/ 15834 h 4264669"/>
              <a:gd name="connsiteX11" fmla="*/ 2428237 w 4876800"/>
              <a:gd name="connsiteY11" fmla="*/ 142878 h 4264669"/>
              <a:gd name="connsiteX12" fmla="*/ 2428237 w 4876800"/>
              <a:gd name="connsiteY12" fmla="*/ 926929 h 4264669"/>
              <a:gd name="connsiteX13" fmla="*/ 4876800 w 4876800"/>
              <a:gd name="connsiteY13" fmla="*/ 4121785 h 4264669"/>
              <a:gd name="connsiteX14" fmla="*/ 4745708 w 4876800"/>
              <a:gd name="connsiteY14" fmla="*/ 4264175 h 4264669"/>
              <a:gd name="connsiteX15" fmla="*/ 4733801 w 4876800"/>
              <a:gd name="connsiteY15" fmla="*/ 4264670 h 4264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4876800" h="4264669">
                <a:moveTo>
                  <a:pt x="4733801" y="4264670"/>
                </a:moveTo>
                <a:cubicBezTo>
                  <a:pt x="4664621" y="4264670"/>
                  <a:pt x="4604557" y="4214645"/>
                  <a:pt x="4592993" y="4145274"/>
                </a:cubicBezTo>
                <a:cubicBezTo>
                  <a:pt x="4489895" y="3543265"/>
                  <a:pt x="3906946" y="2492572"/>
                  <a:pt x="2428237" y="2431174"/>
                </a:cubicBezTo>
                <a:lnTo>
                  <a:pt x="2428237" y="3203585"/>
                </a:lnTo>
                <a:cubicBezTo>
                  <a:pt x="2428237" y="3257106"/>
                  <a:pt x="2398328" y="3306141"/>
                  <a:pt x="2350742" y="3330629"/>
                </a:cubicBezTo>
                <a:cubicBezTo>
                  <a:pt x="2303145" y="3355109"/>
                  <a:pt x="2245862" y="3350946"/>
                  <a:pt x="2202314" y="3319847"/>
                </a:cubicBezTo>
                <a:lnTo>
                  <a:pt x="59827" y="1789494"/>
                </a:lnTo>
                <a:cubicBezTo>
                  <a:pt x="22279" y="1762671"/>
                  <a:pt x="0" y="1719361"/>
                  <a:pt x="0" y="1673222"/>
                </a:cubicBezTo>
                <a:cubicBezTo>
                  <a:pt x="0" y="1627073"/>
                  <a:pt x="22279" y="1583773"/>
                  <a:pt x="59827" y="1556960"/>
                </a:cubicBezTo>
                <a:lnTo>
                  <a:pt x="2202323" y="26616"/>
                </a:lnTo>
                <a:cubicBezTo>
                  <a:pt x="2245862" y="-4492"/>
                  <a:pt x="2303155" y="-8655"/>
                  <a:pt x="2350742" y="15834"/>
                </a:cubicBezTo>
                <a:cubicBezTo>
                  <a:pt x="2398328" y="40323"/>
                  <a:pt x="2428237" y="89357"/>
                  <a:pt x="2428237" y="142878"/>
                </a:cubicBezTo>
                <a:lnTo>
                  <a:pt x="2428237" y="926929"/>
                </a:lnTo>
                <a:cubicBezTo>
                  <a:pt x="3342284" y="1018102"/>
                  <a:pt x="4876800" y="1677880"/>
                  <a:pt x="4876800" y="4121785"/>
                </a:cubicBezTo>
                <a:cubicBezTo>
                  <a:pt x="4876800" y="4196128"/>
                  <a:pt x="4819793" y="4258050"/>
                  <a:pt x="4745708" y="4264175"/>
                </a:cubicBezTo>
                <a:cubicBezTo>
                  <a:pt x="4741717" y="4264499"/>
                  <a:pt x="4737745" y="4264670"/>
                  <a:pt x="4733801" y="4264670"/>
                </a:cubicBezTo>
                <a:close/>
              </a:path>
            </a:pathLst>
          </a:custGeom>
          <a:solidFill>
            <a:schemeClr val="bg1"/>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grpSp>
    <xdr:clientData/>
  </xdr:twoCellAnchor>
  <xdr:twoCellAnchor>
    <xdr:from>
      <xdr:col>0</xdr:col>
      <xdr:colOff>10883</xdr:colOff>
      <xdr:row>4</xdr:row>
      <xdr:rowOff>3904</xdr:rowOff>
    </xdr:from>
    <xdr:to>
      <xdr:col>22</xdr:col>
      <xdr:colOff>0</xdr:colOff>
      <xdr:row>6</xdr:row>
      <xdr:rowOff>21013</xdr:rowOff>
    </xdr:to>
    <xdr:grpSp>
      <xdr:nvGrpSpPr>
        <xdr:cNvPr id="573" name="Groep 95">
          <a:extLst>
            <a:ext uri="{FF2B5EF4-FFF2-40B4-BE49-F238E27FC236}">
              <a16:creationId xmlns:a16="http://schemas.microsoft.com/office/drawing/2014/main" id="{DDB66E80-D068-41E8-9498-2DBEA9EFB71F}"/>
            </a:ext>
          </a:extLst>
        </xdr:cNvPr>
        <xdr:cNvGrpSpPr/>
      </xdr:nvGrpSpPr>
      <xdr:grpSpPr>
        <a:xfrm>
          <a:off x="10883" y="631433"/>
          <a:ext cx="18512441" cy="330874"/>
          <a:chOff x="1" y="593905"/>
          <a:chExt cx="25543580" cy="341252"/>
        </a:xfrm>
      </xdr:grpSpPr>
      <xdr:sp macro="" textlink="">
        <xdr:nvSpPr>
          <xdr:cNvPr id="574" name="Rectangle 8">
            <a:extLst>
              <a:ext uri="{FF2B5EF4-FFF2-40B4-BE49-F238E27FC236}">
                <a16:creationId xmlns:a16="http://schemas.microsoft.com/office/drawing/2014/main" id="{B7450287-FFE1-2449-9422-A39AD9878726}"/>
              </a:ext>
              <a:ext uri="{147F2762-F138-4A5C-976F-8EAC2B608ADB}">
                <a16:predDERef xmlns:a16="http://schemas.microsoft.com/office/drawing/2014/main" pred="{00000000-0008-0000-0300-00000E000000}"/>
              </a:ext>
            </a:extLst>
          </xdr:cNvPr>
          <xdr:cNvSpPr/>
        </xdr:nvSpPr>
        <xdr:spPr>
          <a:xfrm>
            <a:off x="1" y="714813"/>
            <a:ext cx="25543580" cy="61213"/>
          </a:xfrm>
          <a:prstGeom prst="rect">
            <a:avLst/>
          </a:prstGeom>
          <a:gradFill flip="none" rotWithShape="1">
            <a:gsLst>
              <a:gs pos="0">
                <a:srgbClr val="5AA760"/>
              </a:gs>
              <a:gs pos="50000">
                <a:srgbClr val="BCD41B"/>
              </a:gs>
              <a:gs pos="100000">
                <a:srgbClr val="17BCD6"/>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575" name="Freeform: Shape 21">
            <a:extLst>
              <a:ext uri="{FF2B5EF4-FFF2-40B4-BE49-F238E27FC236}">
                <a16:creationId xmlns:a16="http://schemas.microsoft.com/office/drawing/2014/main" id="{10932247-49EE-BF10-2067-85AAF47B216E}"/>
              </a:ext>
            </a:extLst>
          </xdr:cNvPr>
          <xdr:cNvSpPr/>
        </xdr:nvSpPr>
        <xdr:spPr>
          <a:xfrm rot="10800000" flipH="1" flipV="1">
            <a:off x="13008698" y="763920"/>
            <a:ext cx="6501077" cy="171237"/>
          </a:xfrm>
          <a:custGeom>
            <a:avLst/>
            <a:gdLst>
              <a:gd name="connsiteX0" fmla="*/ 1888223 w 4050434"/>
              <a:gd name="connsiteY0" fmla="*/ 466180 h 466180"/>
              <a:gd name="connsiteX1" fmla="*/ 2025217 w 4050434"/>
              <a:gd name="connsiteY1" fmla="*/ 465510 h 466180"/>
              <a:gd name="connsiteX2" fmla="*/ 2162211 w 4050434"/>
              <a:gd name="connsiteY2" fmla="*/ 466180 h 466180"/>
              <a:gd name="connsiteX3" fmla="*/ 4050434 w 4050434"/>
              <a:gd name="connsiteY3" fmla="*/ 17828 h 466180"/>
              <a:gd name="connsiteX4" fmla="*/ 4050434 w 4050434"/>
              <a:gd name="connsiteY4" fmla="*/ 0 h 466180"/>
              <a:gd name="connsiteX5" fmla="*/ 0 w 4050434"/>
              <a:gd name="connsiteY5" fmla="*/ 0 h 466180"/>
              <a:gd name="connsiteX6" fmla="*/ 0 w 4050434"/>
              <a:gd name="connsiteY6" fmla="*/ 17829 h 466180"/>
              <a:gd name="connsiteX7" fmla="*/ 1888223 w 4050434"/>
              <a:gd name="connsiteY7" fmla="*/ 466180 h 466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50434" h="466180">
                <a:moveTo>
                  <a:pt x="1888223" y="466180"/>
                </a:moveTo>
                <a:lnTo>
                  <a:pt x="2025217" y="465510"/>
                </a:lnTo>
                <a:lnTo>
                  <a:pt x="2162211" y="466180"/>
                </a:lnTo>
                <a:cubicBezTo>
                  <a:pt x="2791618" y="435341"/>
                  <a:pt x="3043381" y="17828"/>
                  <a:pt x="4050434" y="17828"/>
                </a:cubicBezTo>
                <a:lnTo>
                  <a:pt x="4050434" y="0"/>
                </a:lnTo>
                <a:lnTo>
                  <a:pt x="0" y="0"/>
                </a:lnTo>
                <a:lnTo>
                  <a:pt x="0" y="17829"/>
                </a:lnTo>
                <a:cubicBezTo>
                  <a:pt x="1007053" y="17829"/>
                  <a:pt x="1258816" y="435341"/>
                  <a:pt x="1888223" y="466180"/>
                </a:cubicBezTo>
                <a:close/>
              </a:path>
            </a:pathLst>
          </a:custGeom>
          <a:gradFill>
            <a:gsLst>
              <a:gs pos="80366">
                <a:srgbClr val="7CCB63"/>
              </a:gs>
              <a:gs pos="51400">
                <a:srgbClr val="9CCF40"/>
              </a:gs>
              <a:gs pos="0">
                <a:srgbClr val="B7D11F"/>
              </a:gs>
              <a:gs pos="100000">
                <a:srgbClr val="67C87B"/>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576" name="Freeform: Shape 20">
            <a:extLst>
              <a:ext uri="{FF2B5EF4-FFF2-40B4-BE49-F238E27FC236}">
                <a16:creationId xmlns:a16="http://schemas.microsoft.com/office/drawing/2014/main" id="{19008AF7-3234-0E93-53D5-3F26B6B9A5B8}"/>
              </a:ext>
            </a:extLst>
          </xdr:cNvPr>
          <xdr:cNvSpPr/>
        </xdr:nvSpPr>
        <xdr:spPr>
          <a:xfrm rot="10800000" flipH="1">
            <a:off x="17385802" y="593905"/>
            <a:ext cx="8095974" cy="146048"/>
          </a:xfrm>
          <a:custGeom>
            <a:avLst/>
            <a:gdLst>
              <a:gd name="connsiteX0" fmla="*/ 1888223 w 4050434"/>
              <a:gd name="connsiteY0" fmla="*/ 466180 h 466180"/>
              <a:gd name="connsiteX1" fmla="*/ 2025217 w 4050434"/>
              <a:gd name="connsiteY1" fmla="*/ 465510 h 466180"/>
              <a:gd name="connsiteX2" fmla="*/ 2162211 w 4050434"/>
              <a:gd name="connsiteY2" fmla="*/ 466180 h 466180"/>
              <a:gd name="connsiteX3" fmla="*/ 4050434 w 4050434"/>
              <a:gd name="connsiteY3" fmla="*/ 17828 h 466180"/>
              <a:gd name="connsiteX4" fmla="*/ 4050434 w 4050434"/>
              <a:gd name="connsiteY4" fmla="*/ 0 h 466180"/>
              <a:gd name="connsiteX5" fmla="*/ 0 w 4050434"/>
              <a:gd name="connsiteY5" fmla="*/ 0 h 466180"/>
              <a:gd name="connsiteX6" fmla="*/ 0 w 4050434"/>
              <a:gd name="connsiteY6" fmla="*/ 17829 h 466180"/>
              <a:gd name="connsiteX7" fmla="*/ 1888223 w 4050434"/>
              <a:gd name="connsiteY7" fmla="*/ 466180 h 466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50434" h="466180">
                <a:moveTo>
                  <a:pt x="1888223" y="466180"/>
                </a:moveTo>
                <a:lnTo>
                  <a:pt x="2025217" y="465510"/>
                </a:lnTo>
                <a:lnTo>
                  <a:pt x="2162211" y="466180"/>
                </a:lnTo>
                <a:cubicBezTo>
                  <a:pt x="2791618" y="435341"/>
                  <a:pt x="3043381" y="17828"/>
                  <a:pt x="4050434" y="17828"/>
                </a:cubicBezTo>
                <a:lnTo>
                  <a:pt x="4050434" y="0"/>
                </a:lnTo>
                <a:lnTo>
                  <a:pt x="0" y="0"/>
                </a:lnTo>
                <a:lnTo>
                  <a:pt x="0" y="17829"/>
                </a:lnTo>
                <a:cubicBezTo>
                  <a:pt x="1007053" y="17829"/>
                  <a:pt x="1258816" y="435341"/>
                  <a:pt x="1888223" y="466180"/>
                </a:cubicBezTo>
                <a:close/>
              </a:path>
            </a:pathLst>
          </a:custGeom>
          <a:gradFill>
            <a:gsLst>
              <a:gs pos="51400">
                <a:srgbClr val="51C494"/>
              </a:gs>
              <a:gs pos="0">
                <a:srgbClr val="8FCD4E"/>
              </a:gs>
              <a:gs pos="100000">
                <a:srgbClr val="17BCD6"/>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clientData/>
  </xdr:twoCellAnchor>
  <xdr:twoCellAnchor editAs="oneCell">
    <xdr:from>
      <xdr:col>20</xdr:col>
      <xdr:colOff>108472</xdr:colOff>
      <xdr:row>1</xdr:row>
      <xdr:rowOff>54909</xdr:rowOff>
    </xdr:from>
    <xdr:to>
      <xdr:col>21</xdr:col>
      <xdr:colOff>549649</xdr:colOff>
      <xdr:row>3</xdr:row>
      <xdr:rowOff>112393</xdr:rowOff>
    </xdr:to>
    <xdr:pic>
      <xdr:nvPicPr>
        <xdr:cNvPr id="4" name="Picture 30">
          <a:extLst>
            <a:ext uri="{FF2B5EF4-FFF2-40B4-BE49-F238E27FC236}">
              <a16:creationId xmlns:a16="http://schemas.microsoft.com/office/drawing/2014/main" id="{6865DF5B-1C52-44FB-91D9-6EEB9A24F2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43972" y="211791"/>
          <a:ext cx="1046967" cy="396574"/>
        </a:xfrm>
        <a:prstGeom prst="rect">
          <a:avLst/>
        </a:prstGeom>
      </xdr:spPr>
    </xdr:pic>
    <xdr:clientData/>
  </xdr:twoCellAnchor>
  <xdr:twoCellAnchor>
    <xdr:from>
      <xdr:col>8</xdr:col>
      <xdr:colOff>268942</xdr:colOff>
      <xdr:row>11</xdr:row>
      <xdr:rowOff>151166</xdr:rowOff>
    </xdr:from>
    <xdr:to>
      <xdr:col>21</xdr:col>
      <xdr:colOff>287542</xdr:colOff>
      <xdr:row>22</xdr:row>
      <xdr:rowOff>50539</xdr:rowOff>
    </xdr:to>
    <xdr:sp macro="" textlink="">
      <xdr:nvSpPr>
        <xdr:cNvPr id="24" name="Rechthoek: afgeronde hoeken 92">
          <a:extLst>
            <a:ext uri="{FF2B5EF4-FFF2-40B4-BE49-F238E27FC236}">
              <a16:creationId xmlns:a16="http://schemas.microsoft.com/office/drawing/2014/main" id="{C0BB9EEC-2ADC-497D-A399-FFE64617B447}"/>
            </a:ext>
          </a:extLst>
        </xdr:cNvPr>
        <xdr:cNvSpPr/>
      </xdr:nvSpPr>
      <xdr:spPr>
        <a:xfrm>
          <a:off x="9087971" y="2179431"/>
          <a:ext cx="9644453" cy="1748343"/>
        </a:xfrm>
        <a:prstGeom prst="roundRect">
          <a:avLst/>
        </a:prstGeom>
        <a:solidFill>
          <a:schemeClr val="accent4"/>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600" b="1"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Hoe wordt de milieuimpact berekend?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600" b="1"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20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In deze tool wordt de Life Cycle Assessment (LCA) methodiek gebruikt. Dit is een methode die de milieubelasting van een product of activiteit meet gedurende de hele levenscyclus. Zo wordt er gekeken naar de grondstofwinning, maar ook naar de afvalverwerking. Er wordt gebruik gemaakt van speciale datasets en rekenmodellen. Deze milieubelasting kan uitgedrukt worden in verschillende impactcategorieen. In deze tool wordt gekeken naar de impact op de opwarming van de aarde, uitgedrukt in CO</a:t>
          </a:r>
          <a:r>
            <a:rPr kumimoji="0" lang="nl-NL" sz="100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2</a:t>
          </a:r>
          <a:r>
            <a:rPr kumimoji="0" lang="nl-NL" sz="120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-uitstoot. </a:t>
          </a:r>
          <a:endParaRPr kumimoji="0" lang="nl-NL" sz="100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endParaRPr>
        </a:p>
      </xdr:txBody>
    </xdr:sp>
    <xdr:clientData/>
  </xdr:twoCellAnchor>
  <xdr:twoCellAnchor>
    <xdr:from>
      <xdr:col>12</xdr:col>
      <xdr:colOff>552899</xdr:colOff>
      <xdr:row>30</xdr:row>
      <xdr:rowOff>130884</xdr:rowOff>
    </xdr:from>
    <xdr:to>
      <xdr:col>21</xdr:col>
      <xdr:colOff>283734</xdr:colOff>
      <xdr:row>51</xdr:row>
      <xdr:rowOff>89647</xdr:rowOff>
    </xdr:to>
    <xdr:sp macro="" textlink="">
      <xdr:nvSpPr>
        <xdr:cNvPr id="2" name="Rechthoek: afgeronde hoeken 92">
          <a:extLst>
            <a:ext uri="{FF2B5EF4-FFF2-40B4-BE49-F238E27FC236}">
              <a16:creationId xmlns:a16="http://schemas.microsoft.com/office/drawing/2014/main" id="{E717EA3F-59DF-4897-92F0-DE16818164A9}"/>
            </a:ext>
          </a:extLst>
        </xdr:cNvPr>
        <xdr:cNvSpPr/>
      </xdr:nvSpPr>
      <xdr:spPr>
        <a:xfrm>
          <a:off x="13417252" y="5364031"/>
          <a:ext cx="5300158" cy="3679116"/>
        </a:xfrm>
        <a:prstGeom prst="roundRect">
          <a:avLst/>
        </a:prstGeom>
        <a:solidFill>
          <a:schemeClr val="accent4"/>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600" b="1"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Beschrijving</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05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5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In dit tabblad worden twee scenario's gepresenteerd. Scenario 1 laat de situatie met kringlooporganisatie zien. De mogelijke routes zijn hierbij hergebruik via de kringlooporganisatie, recycling en afvalverbranding. De percentages die hiervoor gebruikt worden komen uit de Monitor Kringloop Nederland 2023</a:t>
          </a:r>
          <a:r>
            <a:rPr kumimoji="0" lang="nl-NL" sz="1050" b="0" i="0" u="none" strike="noStrike" kern="0" cap="none" spc="0" normalizeH="0" baseline="30000" noProof="0">
              <a:ln>
                <a:noFill/>
              </a:ln>
              <a:solidFill>
                <a:schemeClr val="accent1"/>
              </a:solidFill>
              <a:effectLst/>
              <a:uLnTx/>
              <a:uFillTx/>
              <a:latin typeface="Verdana" panose="020B0604030504040204" pitchFamily="34" charset="0"/>
              <a:ea typeface="Verdana" panose="020B0604030504040204" pitchFamily="34" charset="0"/>
              <a:cs typeface="+mn-cs"/>
            </a:rPr>
            <a:t>2</a:t>
          </a:r>
          <a:r>
            <a:rPr kumimoji="0" lang="nl-NL" sz="105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05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5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In scenario 2 wordt de fictieve situatie beschreven wanneer er geen kringlooporganisaties zouden zijn. In die situatie zullen deze producten verkocht worden via internet, weggegeven als gift, naar de milieustraat gebracht worden of bij het huishoudelijk afval terecht komen. Wanneer iets bij de milieustraat of het huishoudelijk afval komt, wordt het gerecycled of verbrand. De verwerkingen zijn daardoor: hergebruik via internetverkoop of giften, recycling en verbranding. De verdeling wordt uitgedrukt in percentages. Deze percentages zijn berekend door middel van de bronnen beschreven in het tabblad: "Achtergrond scenario zonder kw" en "Percentages scenario zonder kw".</a:t>
          </a:r>
        </a:p>
      </xdr:txBody>
    </xdr:sp>
    <xdr:clientData/>
  </xdr:twoCellAnchor>
  <xdr:twoCellAnchor editAs="oneCell">
    <xdr:from>
      <xdr:col>8</xdr:col>
      <xdr:colOff>446332</xdr:colOff>
      <xdr:row>24</xdr:row>
      <xdr:rowOff>129250</xdr:rowOff>
    </xdr:from>
    <xdr:to>
      <xdr:col>11</xdr:col>
      <xdr:colOff>707428</xdr:colOff>
      <xdr:row>40</xdr:row>
      <xdr:rowOff>131221</xdr:rowOff>
    </xdr:to>
    <xdr:pic>
      <xdr:nvPicPr>
        <xdr:cNvPr id="28" name="Afbeelding 27">
          <a:extLst>
            <a:ext uri="{FF2B5EF4-FFF2-40B4-BE49-F238E27FC236}">
              <a16:creationId xmlns:a16="http://schemas.microsoft.com/office/drawing/2014/main" id="{AD9F1A24-DF18-BDA9-E07E-9916E9FA739F}"/>
            </a:ext>
          </a:extLst>
        </xdr:cNvPr>
        <xdr:cNvPicPr>
          <a:picLocks noChangeAspect="1"/>
        </xdr:cNvPicPr>
      </xdr:nvPicPr>
      <xdr:blipFill>
        <a:blip xmlns:r="http://schemas.openxmlformats.org/officeDocument/2006/relationships" r:embed="rId3"/>
        <a:stretch>
          <a:fillRect/>
        </a:stretch>
      </xdr:blipFill>
      <xdr:spPr>
        <a:xfrm>
          <a:off x="9198126" y="4521956"/>
          <a:ext cx="3600673" cy="2836051"/>
        </a:xfrm>
        <a:prstGeom prst="rect">
          <a:avLst/>
        </a:prstGeom>
      </xdr:spPr>
    </xdr:pic>
    <xdr:clientData/>
  </xdr:twoCellAnchor>
  <xdr:twoCellAnchor editAs="oneCell">
    <xdr:from>
      <xdr:col>8</xdr:col>
      <xdr:colOff>476363</xdr:colOff>
      <xdr:row>43</xdr:row>
      <xdr:rowOff>55431</xdr:rowOff>
    </xdr:from>
    <xdr:to>
      <xdr:col>11</xdr:col>
      <xdr:colOff>551080</xdr:colOff>
      <xdr:row>56</xdr:row>
      <xdr:rowOff>3808</xdr:rowOff>
    </xdr:to>
    <xdr:pic>
      <xdr:nvPicPr>
        <xdr:cNvPr id="29" name="Afbeelding 28">
          <a:extLst>
            <a:ext uri="{FF2B5EF4-FFF2-40B4-BE49-F238E27FC236}">
              <a16:creationId xmlns:a16="http://schemas.microsoft.com/office/drawing/2014/main" id="{4B7FD245-D1D7-7C3B-CDD8-E26B42F1FCCB}"/>
            </a:ext>
          </a:extLst>
        </xdr:cNvPr>
        <xdr:cNvPicPr>
          <a:picLocks noChangeAspect="1"/>
        </xdr:cNvPicPr>
      </xdr:nvPicPr>
      <xdr:blipFill>
        <a:blip xmlns:r="http://schemas.openxmlformats.org/officeDocument/2006/relationships" r:embed="rId4"/>
        <a:stretch>
          <a:fillRect/>
        </a:stretch>
      </xdr:blipFill>
      <xdr:spPr>
        <a:xfrm>
          <a:off x="9284187" y="7473725"/>
          <a:ext cx="3402864" cy="2320215"/>
        </a:xfrm>
        <a:prstGeom prst="rect">
          <a:avLst/>
        </a:prstGeom>
      </xdr:spPr>
    </xdr:pic>
    <xdr:clientData/>
  </xdr:twoCellAnchor>
  <xdr:twoCellAnchor editAs="oneCell">
    <xdr:from>
      <xdr:col>16</xdr:col>
      <xdr:colOff>592841</xdr:colOff>
      <xdr:row>0</xdr:row>
      <xdr:rowOff>0</xdr:rowOff>
    </xdr:from>
    <xdr:to>
      <xdr:col>19</xdr:col>
      <xdr:colOff>586964</xdr:colOff>
      <xdr:row>4</xdr:row>
      <xdr:rowOff>59279</xdr:rowOff>
    </xdr:to>
    <xdr:pic>
      <xdr:nvPicPr>
        <xdr:cNvPr id="7" name="Picture 5">
          <a:extLst>
            <a:ext uri="{FF2B5EF4-FFF2-40B4-BE49-F238E27FC236}">
              <a16:creationId xmlns:a16="http://schemas.microsoft.com/office/drawing/2014/main" id="{01D7C781-EBBE-480F-B22E-FF28B7DDFF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552694" y="0"/>
          <a:ext cx="1817208" cy="7507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1319621</xdr:colOff>
      <xdr:row>124</xdr:row>
      <xdr:rowOff>51335</xdr:rowOff>
    </xdr:from>
    <xdr:to>
      <xdr:col>15</xdr:col>
      <xdr:colOff>695686</xdr:colOff>
      <xdr:row>143</xdr:row>
      <xdr:rowOff>32656</xdr:rowOff>
    </xdr:to>
    <xdr:sp macro="" textlink="">
      <xdr:nvSpPr>
        <xdr:cNvPr id="20" name="Rechthoek: afgeronde hoeken 92">
          <a:extLst>
            <a:ext uri="{FF2B5EF4-FFF2-40B4-BE49-F238E27FC236}">
              <a16:creationId xmlns:a16="http://schemas.microsoft.com/office/drawing/2014/main" id="{711829A7-FAC4-5288-07FB-894A7904B0B8}"/>
            </a:ext>
          </a:extLst>
        </xdr:cNvPr>
        <xdr:cNvSpPr/>
      </xdr:nvSpPr>
      <xdr:spPr>
        <a:xfrm>
          <a:off x="10844621" y="24696592"/>
          <a:ext cx="8585379" cy="3432093"/>
        </a:xfrm>
        <a:prstGeom prst="roundRect">
          <a:avLst>
            <a:gd name="adj" fmla="val 11465"/>
          </a:avLst>
        </a:prstGeom>
        <a:solidFill>
          <a:schemeClr val="accent2"/>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xdr:col>
      <xdr:colOff>22957</xdr:colOff>
      <xdr:row>105</xdr:row>
      <xdr:rowOff>98675</xdr:rowOff>
    </xdr:from>
    <xdr:to>
      <xdr:col>2</xdr:col>
      <xdr:colOff>750086</xdr:colOff>
      <xdr:row>109</xdr:row>
      <xdr:rowOff>1</xdr:rowOff>
    </xdr:to>
    <xdr:sp macro="" textlink="">
      <xdr:nvSpPr>
        <xdr:cNvPr id="53" name="Rechthoek: afgeronde hoeken 92">
          <a:extLst>
            <a:ext uri="{FF2B5EF4-FFF2-40B4-BE49-F238E27FC236}">
              <a16:creationId xmlns:a16="http://schemas.microsoft.com/office/drawing/2014/main" id="{EA6481A4-66D5-49ED-8430-BFA66C89106F}"/>
            </a:ext>
          </a:extLst>
        </xdr:cNvPr>
        <xdr:cNvSpPr/>
      </xdr:nvSpPr>
      <xdr:spPr>
        <a:xfrm>
          <a:off x="545471" y="20803304"/>
          <a:ext cx="2762758" cy="576240"/>
        </a:xfrm>
        <a:prstGeom prst="roundRect">
          <a:avLst/>
        </a:prstGeom>
        <a:solidFill>
          <a:schemeClr val="accent2"/>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518732</xdr:colOff>
      <xdr:row>106</xdr:row>
      <xdr:rowOff>56594</xdr:rowOff>
    </xdr:from>
    <xdr:to>
      <xdr:col>2</xdr:col>
      <xdr:colOff>599363</xdr:colOff>
      <xdr:row>108</xdr:row>
      <xdr:rowOff>119743</xdr:rowOff>
    </xdr:to>
    <xdr:sp macro="" textlink="">
      <xdr:nvSpPr>
        <xdr:cNvPr id="54" name="Tijdelijke aanduiding voor inhoud 1">
          <a:extLst>
            <a:ext uri="{FF2B5EF4-FFF2-40B4-BE49-F238E27FC236}">
              <a16:creationId xmlns:a16="http://schemas.microsoft.com/office/drawing/2014/main" id="{2C70D0B3-C374-40ED-ACCA-6AA68F5526B1}"/>
            </a:ext>
          </a:extLst>
        </xdr:cNvPr>
        <xdr:cNvSpPr>
          <a:spLocks noGrp="1"/>
        </xdr:cNvSpPr>
      </xdr:nvSpPr>
      <xdr:spPr>
        <a:xfrm>
          <a:off x="518732" y="20924508"/>
          <a:ext cx="2638774" cy="389721"/>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400" b="1" baseline="0">
              <a:solidFill>
                <a:schemeClr val="bg1"/>
              </a:solidFill>
              <a:latin typeface="Verdana" panose="020B0604030504040204" pitchFamily="34" charset="0"/>
              <a:ea typeface="Verdana" panose="020B0604030504040204" pitchFamily="34" charset="0"/>
            </a:rPr>
            <a:t>Transport achtergrond</a:t>
          </a:r>
        </a:p>
        <a:p>
          <a:pPr marL="0" indent="0">
            <a:buNone/>
          </a:pPr>
          <a:endParaRPr lang="nl-NL" sz="1800">
            <a:solidFill>
              <a:schemeClr val="bg1"/>
            </a:solidFill>
          </a:endParaRPr>
        </a:p>
      </xdr:txBody>
    </xdr:sp>
    <xdr:clientData/>
  </xdr:twoCellAnchor>
  <xdr:twoCellAnchor>
    <xdr:from>
      <xdr:col>0</xdr:col>
      <xdr:colOff>528867</xdr:colOff>
      <xdr:row>43</xdr:row>
      <xdr:rowOff>104118</xdr:rowOff>
    </xdr:from>
    <xdr:to>
      <xdr:col>3</xdr:col>
      <xdr:colOff>867635</xdr:colOff>
      <xdr:row>46</xdr:row>
      <xdr:rowOff>123532</xdr:rowOff>
    </xdr:to>
    <xdr:sp macro="" textlink="">
      <xdr:nvSpPr>
        <xdr:cNvPr id="56" name="Rechthoek: afgeronde hoeken 92">
          <a:extLst>
            <a:ext uri="{FF2B5EF4-FFF2-40B4-BE49-F238E27FC236}">
              <a16:creationId xmlns:a16="http://schemas.microsoft.com/office/drawing/2014/main" id="{BA39C3DF-6537-4C00-AFB7-C6D8F82F3700}"/>
            </a:ext>
          </a:extLst>
        </xdr:cNvPr>
        <xdr:cNvSpPr/>
      </xdr:nvSpPr>
      <xdr:spPr>
        <a:xfrm>
          <a:off x="528867" y="8717439"/>
          <a:ext cx="4135161" cy="550093"/>
        </a:xfrm>
        <a:prstGeom prst="roundRect">
          <a:avLst/>
        </a:prstGeom>
        <a:solidFill>
          <a:schemeClr val="accent2"/>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511296</xdr:colOff>
      <xdr:row>44</xdr:row>
      <xdr:rowOff>53872</xdr:rowOff>
    </xdr:from>
    <xdr:to>
      <xdr:col>3</xdr:col>
      <xdr:colOff>762000</xdr:colOff>
      <xdr:row>46</xdr:row>
      <xdr:rowOff>0</xdr:rowOff>
    </xdr:to>
    <xdr:sp macro="" textlink="">
      <xdr:nvSpPr>
        <xdr:cNvPr id="12" name="Tijdelijke aanduiding voor inhoud 1">
          <a:extLst>
            <a:ext uri="{FF2B5EF4-FFF2-40B4-BE49-F238E27FC236}">
              <a16:creationId xmlns:a16="http://schemas.microsoft.com/office/drawing/2014/main" id="{6DB6ADC7-7CD2-42D6-845D-68BDC7F541ED}"/>
            </a:ext>
          </a:extLst>
        </xdr:cNvPr>
        <xdr:cNvSpPr>
          <a:spLocks noGrp="1"/>
        </xdr:cNvSpPr>
      </xdr:nvSpPr>
      <xdr:spPr>
        <a:xfrm>
          <a:off x="511296" y="9483622"/>
          <a:ext cx="4033490" cy="299914"/>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400" b="1" baseline="0">
              <a:solidFill>
                <a:schemeClr val="bg1"/>
              </a:solidFill>
              <a:latin typeface="Verdana" panose="020B0604030504040204" pitchFamily="34" charset="0"/>
              <a:ea typeface="Verdana" panose="020B0604030504040204" pitchFamily="34" charset="0"/>
            </a:rPr>
            <a:t>Scenario zonder kringlooporganisatie</a:t>
          </a:r>
        </a:p>
        <a:p>
          <a:pPr marL="0" indent="0">
            <a:buNone/>
          </a:pPr>
          <a:endParaRPr lang="nl-NL" sz="1800">
            <a:solidFill>
              <a:schemeClr val="bg1"/>
            </a:solidFill>
          </a:endParaRPr>
        </a:p>
      </xdr:txBody>
    </xdr:sp>
    <xdr:clientData/>
  </xdr:twoCellAnchor>
  <xdr:twoCellAnchor>
    <xdr:from>
      <xdr:col>1</xdr:col>
      <xdr:colOff>345</xdr:colOff>
      <xdr:row>79</xdr:row>
      <xdr:rowOff>123794</xdr:rowOff>
    </xdr:from>
    <xdr:to>
      <xdr:col>4</xdr:col>
      <xdr:colOff>454139</xdr:colOff>
      <xdr:row>82</xdr:row>
      <xdr:rowOff>108105</xdr:rowOff>
    </xdr:to>
    <xdr:sp macro="" textlink="">
      <xdr:nvSpPr>
        <xdr:cNvPr id="55" name="Rechthoek: afgeronde hoeken 92">
          <a:extLst>
            <a:ext uri="{FF2B5EF4-FFF2-40B4-BE49-F238E27FC236}">
              <a16:creationId xmlns:a16="http://schemas.microsoft.com/office/drawing/2014/main" id="{BD10ECF4-C2B4-489A-8A16-DD38ED39BC91}"/>
            </a:ext>
          </a:extLst>
        </xdr:cNvPr>
        <xdr:cNvSpPr/>
      </xdr:nvSpPr>
      <xdr:spPr>
        <a:xfrm>
          <a:off x="531024" y="15404615"/>
          <a:ext cx="5107436" cy="514990"/>
        </a:xfrm>
        <a:prstGeom prst="roundRect">
          <a:avLst/>
        </a:prstGeom>
        <a:solidFill>
          <a:schemeClr val="accent2"/>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446229</xdr:colOff>
      <xdr:row>80</xdr:row>
      <xdr:rowOff>76725</xdr:rowOff>
    </xdr:from>
    <xdr:to>
      <xdr:col>3</xdr:col>
      <xdr:colOff>351921</xdr:colOff>
      <xdr:row>82</xdr:row>
      <xdr:rowOff>41407</xdr:rowOff>
    </xdr:to>
    <xdr:sp macro="" textlink="">
      <xdr:nvSpPr>
        <xdr:cNvPr id="84" name="Tijdelijke aanduiding voor inhoud 1">
          <a:extLst>
            <a:ext uri="{FF2B5EF4-FFF2-40B4-BE49-F238E27FC236}">
              <a16:creationId xmlns:a16="http://schemas.microsoft.com/office/drawing/2014/main" id="{4F6A973C-9DE5-40EA-8548-2A0F0AD151C9}"/>
            </a:ext>
          </a:extLst>
        </xdr:cNvPr>
        <xdr:cNvSpPr>
          <a:spLocks noGrp="1"/>
        </xdr:cNvSpPr>
      </xdr:nvSpPr>
      <xdr:spPr>
        <a:xfrm>
          <a:off x="446229" y="15490896"/>
          <a:ext cx="3672149" cy="291254"/>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400" b="1" baseline="0">
              <a:solidFill>
                <a:schemeClr val="bg1"/>
              </a:solidFill>
              <a:latin typeface="Verdana" panose="020B0604030504040204" pitchFamily="34" charset="0"/>
              <a:ea typeface="Verdana" panose="020B0604030504040204" pitchFamily="34" charset="0"/>
            </a:rPr>
            <a:t>Verschil tussen beide scenario's</a:t>
          </a:r>
        </a:p>
        <a:p>
          <a:pPr marL="0" indent="0">
            <a:buNone/>
          </a:pPr>
          <a:endParaRPr lang="nl-NL" sz="1800">
            <a:solidFill>
              <a:schemeClr val="bg1"/>
            </a:solidFill>
          </a:endParaRPr>
        </a:p>
      </xdr:txBody>
    </xdr:sp>
    <xdr:clientData/>
  </xdr:twoCellAnchor>
  <xdr:twoCellAnchor>
    <xdr:from>
      <xdr:col>4</xdr:col>
      <xdr:colOff>703135</xdr:colOff>
      <xdr:row>79</xdr:row>
      <xdr:rowOff>117359</xdr:rowOff>
    </xdr:from>
    <xdr:to>
      <xdr:col>11</xdr:col>
      <xdr:colOff>1023258</xdr:colOff>
      <xdr:row>82</xdr:row>
      <xdr:rowOff>108857</xdr:rowOff>
    </xdr:to>
    <xdr:sp macro="" textlink="">
      <xdr:nvSpPr>
        <xdr:cNvPr id="19" name="Rechthoek: afgeronde hoeken 92">
          <a:extLst>
            <a:ext uri="{FF2B5EF4-FFF2-40B4-BE49-F238E27FC236}">
              <a16:creationId xmlns:a16="http://schemas.microsoft.com/office/drawing/2014/main" id="{49BBD7AC-11E2-451F-A8DC-45DF951B57F0}"/>
            </a:ext>
          </a:extLst>
        </xdr:cNvPr>
        <xdr:cNvSpPr/>
      </xdr:nvSpPr>
      <xdr:spPr>
        <a:xfrm>
          <a:off x="5852078" y="15368245"/>
          <a:ext cx="9072237" cy="481355"/>
        </a:xfrm>
        <a:prstGeom prst="roundRect">
          <a:avLst/>
        </a:prstGeom>
        <a:solidFill>
          <a:schemeClr val="accent2"/>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110305</xdr:colOff>
      <xdr:row>0</xdr:row>
      <xdr:rowOff>108857</xdr:rowOff>
    </xdr:from>
    <xdr:to>
      <xdr:col>8</xdr:col>
      <xdr:colOff>840380</xdr:colOff>
      <xdr:row>4</xdr:row>
      <xdr:rowOff>154700</xdr:rowOff>
    </xdr:to>
    <xdr:sp macro="" textlink="">
      <xdr:nvSpPr>
        <xdr:cNvPr id="3" name="TextBox 5">
          <a:extLst>
            <a:ext uri="{FF2B5EF4-FFF2-40B4-BE49-F238E27FC236}">
              <a16:creationId xmlns:a16="http://schemas.microsoft.com/office/drawing/2014/main" id="{902A7630-480E-4AA1-9061-2DDC10EBAB25}"/>
            </a:ext>
          </a:extLst>
        </xdr:cNvPr>
        <xdr:cNvSpPr txBox="1"/>
      </xdr:nvSpPr>
      <xdr:spPr>
        <a:xfrm>
          <a:off x="108400" y="106952"/>
          <a:ext cx="10476055" cy="733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3600" b="1">
              <a:solidFill>
                <a:schemeClr val="bg1"/>
              </a:solidFill>
              <a:latin typeface="+mj-lt"/>
            </a:rPr>
            <a:t>Rekensheet</a:t>
          </a:r>
        </a:p>
        <a:p>
          <a:endParaRPr lang="nl-NL" sz="3600" b="1">
            <a:solidFill>
              <a:schemeClr val="bg1"/>
            </a:solidFill>
            <a:latin typeface="+mj-lt"/>
          </a:endParaRPr>
        </a:p>
      </xdr:txBody>
    </xdr:sp>
    <xdr:clientData/>
  </xdr:twoCellAnchor>
  <xdr:twoCellAnchor editAs="oneCell">
    <xdr:from>
      <xdr:col>16</xdr:col>
      <xdr:colOff>882290</xdr:colOff>
      <xdr:row>1</xdr:row>
      <xdr:rowOff>5822</xdr:rowOff>
    </xdr:from>
    <xdr:to>
      <xdr:col>16</xdr:col>
      <xdr:colOff>1925527</xdr:colOff>
      <xdr:row>3</xdr:row>
      <xdr:rowOff>92371</xdr:rowOff>
    </xdr:to>
    <xdr:pic>
      <xdr:nvPicPr>
        <xdr:cNvPr id="8" name="Picture 30">
          <a:extLst>
            <a:ext uri="{FF2B5EF4-FFF2-40B4-BE49-F238E27FC236}">
              <a16:creationId xmlns:a16="http://schemas.microsoft.com/office/drawing/2014/main" id="{1CDCE945-D44A-4692-80D8-FF97730618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50004" y="169108"/>
          <a:ext cx="1026092" cy="418019"/>
        </a:xfrm>
        <a:prstGeom prst="rect">
          <a:avLst/>
        </a:prstGeom>
      </xdr:spPr>
    </xdr:pic>
    <xdr:clientData/>
  </xdr:twoCellAnchor>
  <xdr:twoCellAnchor>
    <xdr:from>
      <xdr:col>0</xdr:col>
      <xdr:colOff>0</xdr:colOff>
      <xdr:row>4</xdr:row>
      <xdr:rowOff>32107</xdr:rowOff>
    </xdr:from>
    <xdr:to>
      <xdr:col>24</xdr:col>
      <xdr:colOff>329476</xdr:colOff>
      <xdr:row>6</xdr:row>
      <xdr:rowOff>54383</xdr:rowOff>
    </xdr:to>
    <xdr:grpSp>
      <xdr:nvGrpSpPr>
        <xdr:cNvPr id="21" name="Groep 95">
          <a:extLst>
            <a:ext uri="{FF2B5EF4-FFF2-40B4-BE49-F238E27FC236}">
              <a16:creationId xmlns:a16="http://schemas.microsoft.com/office/drawing/2014/main" id="{9B70671D-DD1C-4189-93A3-179F798EE2EB}"/>
            </a:ext>
          </a:extLst>
        </xdr:cNvPr>
        <xdr:cNvGrpSpPr/>
      </xdr:nvGrpSpPr>
      <xdr:grpSpPr>
        <a:xfrm>
          <a:off x="0" y="685250"/>
          <a:ext cx="28251333" cy="348847"/>
          <a:chOff x="1" y="593910"/>
          <a:chExt cx="25543580" cy="341247"/>
        </a:xfrm>
      </xdr:grpSpPr>
      <xdr:sp macro="" textlink="">
        <xdr:nvSpPr>
          <xdr:cNvPr id="24" name="Rectangle 8">
            <a:extLst>
              <a:ext uri="{FF2B5EF4-FFF2-40B4-BE49-F238E27FC236}">
                <a16:creationId xmlns:a16="http://schemas.microsoft.com/office/drawing/2014/main" id="{F3F49FA9-5E0D-572F-608C-37EA961A0848}"/>
              </a:ext>
              <a:ext uri="{147F2762-F138-4A5C-976F-8EAC2B608ADB}">
                <a16:predDERef xmlns:a16="http://schemas.microsoft.com/office/drawing/2014/main" pred="{00000000-0008-0000-0300-00000E000000}"/>
              </a:ext>
            </a:extLst>
          </xdr:cNvPr>
          <xdr:cNvSpPr/>
        </xdr:nvSpPr>
        <xdr:spPr>
          <a:xfrm>
            <a:off x="1" y="714813"/>
            <a:ext cx="25543580" cy="61213"/>
          </a:xfrm>
          <a:prstGeom prst="rect">
            <a:avLst/>
          </a:prstGeom>
          <a:gradFill flip="none" rotWithShape="1">
            <a:gsLst>
              <a:gs pos="0">
                <a:srgbClr val="5AA760"/>
              </a:gs>
              <a:gs pos="50000">
                <a:srgbClr val="BCD41B"/>
              </a:gs>
              <a:gs pos="100000">
                <a:srgbClr val="17BCD6"/>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5" name="Freeform: Shape 21">
            <a:extLst>
              <a:ext uri="{FF2B5EF4-FFF2-40B4-BE49-F238E27FC236}">
                <a16:creationId xmlns:a16="http://schemas.microsoft.com/office/drawing/2014/main" id="{6F190E19-401C-21C4-EBD3-DD17C0E6C763}"/>
              </a:ext>
            </a:extLst>
          </xdr:cNvPr>
          <xdr:cNvSpPr/>
        </xdr:nvSpPr>
        <xdr:spPr>
          <a:xfrm rot="10800000" flipH="1" flipV="1">
            <a:off x="13008698" y="763920"/>
            <a:ext cx="6501077" cy="171237"/>
          </a:xfrm>
          <a:custGeom>
            <a:avLst/>
            <a:gdLst>
              <a:gd name="connsiteX0" fmla="*/ 1888223 w 4050434"/>
              <a:gd name="connsiteY0" fmla="*/ 466180 h 466180"/>
              <a:gd name="connsiteX1" fmla="*/ 2025217 w 4050434"/>
              <a:gd name="connsiteY1" fmla="*/ 465510 h 466180"/>
              <a:gd name="connsiteX2" fmla="*/ 2162211 w 4050434"/>
              <a:gd name="connsiteY2" fmla="*/ 466180 h 466180"/>
              <a:gd name="connsiteX3" fmla="*/ 4050434 w 4050434"/>
              <a:gd name="connsiteY3" fmla="*/ 17828 h 466180"/>
              <a:gd name="connsiteX4" fmla="*/ 4050434 w 4050434"/>
              <a:gd name="connsiteY4" fmla="*/ 0 h 466180"/>
              <a:gd name="connsiteX5" fmla="*/ 0 w 4050434"/>
              <a:gd name="connsiteY5" fmla="*/ 0 h 466180"/>
              <a:gd name="connsiteX6" fmla="*/ 0 w 4050434"/>
              <a:gd name="connsiteY6" fmla="*/ 17829 h 466180"/>
              <a:gd name="connsiteX7" fmla="*/ 1888223 w 4050434"/>
              <a:gd name="connsiteY7" fmla="*/ 466180 h 466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50434" h="466180">
                <a:moveTo>
                  <a:pt x="1888223" y="466180"/>
                </a:moveTo>
                <a:lnTo>
                  <a:pt x="2025217" y="465510"/>
                </a:lnTo>
                <a:lnTo>
                  <a:pt x="2162211" y="466180"/>
                </a:lnTo>
                <a:cubicBezTo>
                  <a:pt x="2791618" y="435341"/>
                  <a:pt x="3043381" y="17828"/>
                  <a:pt x="4050434" y="17828"/>
                </a:cubicBezTo>
                <a:lnTo>
                  <a:pt x="4050434" y="0"/>
                </a:lnTo>
                <a:lnTo>
                  <a:pt x="0" y="0"/>
                </a:lnTo>
                <a:lnTo>
                  <a:pt x="0" y="17829"/>
                </a:lnTo>
                <a:cubicBezTo>
                  <a:pt x="1007053" y="17829"/>
                  <a:pt x="1258816" y="435341"/>
                  <a:pt x="1888223" y="466180"/>
                </a:cubicBezTo>
                <a:close/>
              </a:path>
            </a:pathLst>
          </a:custGeom>
          <a:gradFill>
            <a:gsLst>
              <a:gs pos="80366">
                <a:srgbClr val="7CCB63"/>
              </a:gs>
              <a:gs pos="51400">
                <a:srgbClr val="9CCF40"/>
              </a:gs>
              <a:gs pos="0">
                <a:srgbClr val="B7D11F"/>
              </a:gs>
              <a:gs pos="100000">
                <a:srgbClr val="67C87B"/>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6" name="Freeform: Shape 20">
            <a:extLst>
              <a:ext uri="{FF2B5EF4-FFF2-40B4-BE49-F238E27FC236}">
                <a16:creationId xmlns:a16="http://schemas.microsoft.com/office/drawing/2014/main" id="{BAA45A8F-5A09-FC97-3EBE-3EAEF2198DF1}"/>
              </a:ext>
            </a:extLst>
          </xdr:cNvPr>
          <xdr:cNvSpPr/>
        </xdr:nvSpPr>
        <xdr:spPr>
          <a:xfrm rot="10800000" flipH="1">
            <a:off x="17385803" y="593910"/>
            <a:ext cx="8095973" cy="146049"/>
          </a:xfrm>
          <a:custGeom>
            <a:avLst/>
            <a:gdLst>
              <a:gd name="connsiteX0" fmla="*/ 1888223 w 4050434"/>
              <a:gd name="connsiteY0" fmla="*/ 466180 h 466180"/>
              <a:gd name="connsiteX1" fmla="*/ 2025217 w 4050434"/>
              <a:gd name="connsiteY1" fmla="*/ 465510 h 466180"/>
              <a:gd name="connsiteX2" fmla="*/ 2162211 w 4050434"/>
              <a:gd name="connsiteY2" fmla="*/ 466180 h 466180"/>
              <a:gd name="connsiteX3" fmla="*/ 4050434 w 4050434"/>
              <a:gd name="connsiteY3" fmla="*/ 17828 h 466180"/>
              <a:gd name="connsiteX4" fmla="*/ 4050434 w 4050434"/>
              <a:gd name="connsiteY4" fmla="*/ 0 h 466180"/>
              <a:gd name="connsiteX5" fmla="*/ 0 w 4050434"/>
              <a:gd name="connsiteY5" fmla="*/ 0 h 466180"/>
              <a:gd name="connsiteX6" fmla="*/ 0 w 4050434"/>
              <a:gd name="connsiteY6" fmla="*/ 17829 h 466180"/>
              <a:gd name="connsiteX7" fmla="*/ 1888223 w 4050434"/>
              <a:gd name="connsiteY7" fmla="*/ 466180 h 466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50434" h="466180">
                <a:moveTo>
                  <a:pt x="1888223" y="466180"/>
                </a:moveTo>
                <a:lnTo>
                  <a:pt x="2025217" y="465510"/>
                </a:lnTo>
                <a:lnTo>
                  <a:pt x="2162211" y="466180"/>
                </a:lnTo>
                <a:cubicBezTo>
                  <a:pt x="2791618" y="435341"/>
                  <a:pt x="3043381" y="17828"/>
                  <a:pt x="4050434" y="17828"/>
                </a:cubicBezTo>
                <a:lnTo>
                  <a:pt x="4050434" y="0"/>
                </a:lnTo>
                <a:lnTo>
                  <a:pt x="0" y="0"/>
                </a:lnTo>
                <a:lnTo>
                  <a:pt x="0" y="17829"/>
                </a:lnTo>
                <a:cubicBezTo>
                  <a:pt x="1007053" y="17829"/>
                  <a:pt x="1258816" y="435341"/>
                  <a:pt x="1888223" y="466180"/>
                </a:cubicBezTo>
                <a:close/>
              </a:path>
            </a:pathLst>
          </a:custGeom>
          <a:gradFill>
            <a:gsLst>
              <a:gs pos="51400">
                <a:srgbClr val="51C494"/>
              </a:gs>
              <a:gs pos="0">
                <a:srgbClr val="8FCD4E"/>
              </a:gs>
              <a:gs pos="100000">
                <a:srgbClr val="17BCD6"/>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clientData/>
  </xdr:twoCellAnchor>
  <xdr:twoCellAnchor>
    <xdr:from>
      <xdr:col>0</xdr:col>
      <xdr:colOff>520314</xdr:colOff>
      <xdr:row>12</xdr:row>
      <xdr:rowOff>141953</xdr:rowOff>
    </xdr:from>
    <xdr:to>
      <xdr:col>3</xdr:col>
      <xdr:colOff>476250</xdr:colOff>
      <xdr:row>13</xdr:row>
      <xdr:rowOff>417127</xdr:rowOff>
    </xdr:to>
    <xdr:sp macro="" textlink="">
      <xdr:nvSpPr>
        <xdr:cNvPr id="58" name="Rechthoek: afgeronde hoeken 92">
          <a:extLst>
            <a:ext uri="{FF2B5EF4-FFF2-40B4-BE49-F238E27FC236}">
              <a16:creationId xmlns:a16="http://schemas.microsoft.com/office/drawing/2014/main" id="{5409C9B5-16F9-7615-5FE7-65537614A53C}"/>
            </a:ext>
          </a:extLst>
        </xdr:cNvPr>
        <xdr:cNvSpPr/>
      </xdr:nvSpPr>
      <xdr:spPr>
        <a:xfrm>
          <a:off x="520314" y="2564024"/>
          <a:ext cx="3738722" cy="452067"/>
        </a:xfrm>
        <a:prstGeom prst="roundRect">
          <a:avLst/>
        </a:prstGeom>
        <a:solidFill>
          <a:schemeClr val="accent2"/>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xdr:col>
      <xdr:colOff>34813</xdr:colOff>
      <xdr:row>13</xdr:row>
      <xdr:rowOff>59299</xdr:rowOff>
    </xdr:from>
    <xdr:to>
      <xdr:col>3</xdr:col>
      <xdr:colOff>462643</xdr:colOff>
      <xdr:row>13</xdr:row>
      <xdr:rowOff>326572</xdr:rowOff>
    </xdr:to>
    <xdr:sp macro="" textlink="">
      <xdr:nvSpPr>
        <xdr:cNvPr id="76" name="Tijdelijke aanduiding voor inhoud 1">
          <a:extLst>
            <a:ext uri="{FF2B5EF4-FFF2-40B4-BE49-F238E27FC236}">
              <a16:creationId xmlns:a16="http://schemas.microsoft.com/office/drawing/2014/main" id="{F4A80AEC-ED4F-CD34-7B2F-DF66CF47C3E3}"/>
            </a:ext>
          </a:extLst>
        </xdr:cNvPr>
        <xdr:cNvSpPr>
          <a:spLocks noGrp="1"/>
        </xdr:cNvSpPr>
      </xdr:nvSpPr>
      <xdr:spPr>
        <a:xfrm>
          <a:off x="565492" y="2658263"/>
          <a:ext cx="3679937" cy="267273"/>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400" b="1" baseline="0">
              <a:solidFill>
                <a:schemeClr val="bg1"/>
              </a:solidFill>
              <a:latin typeface="Verdana" panose="020B0604030504040204" pitchFamily="34" charset="0"/>
              <a:ea typeface="Verdana" panose="020B0604030504040204" pitchFamily="34" charset="0"/>
            </a:rPr>
            <a:t>Scenario met kringlooporganisatie</a:t>
          </a:r>
        </a:p>
        <a:p>
          <a:pPr marL="0" indent="0">
            <a:buNone/>
          </a:pPr>
          <a:endParaRPr lang="nl-NL" sz="1800">
            <a:solidFill>
              <a:schemeClr val="bg1"/>
            </a:solidFill>
          </a:endParaRPr>
        </a:p>
      </xdr:txBody>
    </xdr:sp>
    <xdr:clientData/>
  </xdr:twoCellAnchor>
  <xdr:twoCellAnchor>
    <xdr:from>
      <xdr:col>4</xdr:col>
      <xdr:colOff>751114</xdr:colOff>
      <xdr:row>80</xdr:row>
      <xdr:rowOff>60398</xdr:rowOff>
    </xdr:from>
    <xdr:to>
      <xdr:col>10</xdr:col>
      <xdr:colOff>631371</xdr:colOff>
      <xdr:row>81</xdr:row>
      <xdr:rowOff>163285</xdr:rowOff>
    </xdr:to>
    <xdr:sp macro="" textlink="">
      <xdr:nvSpPr>
        <xdr:cNvPr id="31" name="Tijdelijke aanduiding voor inhoud 1">
          <a:extLst>
            <a:ext uri="{FF2B5EF4-FFF2-40B4-BE49-F238E27FC236}">
              <a16:creationId xmlns:a16="http://schemas.microsoft.com/office/drawing/2014/main" id="{29EB5199-D0DF-47A8-BA7E-6B820774BC06}"/>
            </a:ext>
          </a:extLst>
        </xdr:cNvPr>
        <xdr:cNvSpPr>
          <a:spLocks noGrp="1"/>
        </xdr:cNvSpPr>
      </xdr:nvSpPr>
      <xdr:spPr>
        <a:xfrm>
          <a:off x="5900057" y="15474569"/>
          <a:ext cx="6966857" cy="266173"/>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400" b="1" baseline="0">
              <a:solidFill>
                <a:schemeClr val="bg1"/>
              </a:solidFill>
              <a:latin typeface="Verdana" panose="020B0604030504040204" pitchFamily="34" charset="0"/>
              <a:ea typeface="Verdana" panose="020B0604030504040204" pitchFamily="34" charset="0"/>
            </a:rPr>
            <a:t>Milieuwinst = wel kringlooporganisatie - geen kringlooporganisatie</a:t>
          </a:r>
          <a:endParaRPr lang="nl-NL" sz="1800">
            <a:solidFill>
              <a:schemeClr val="bg1"/>
            </a:solidFill>
            <a:latin typeface="Verdana" panose="020B0604030504040204" pitchFamily="34" charset="0"/>
            <a:ea typeface="Verdana" panose="020B0604030504040204" pitchFamily="34" charset="0"/>
          </a:endParaRPr>
        </a:p>
      </xdr:txBody>
    </xdr:sp>
    <xdr:clientData/>
  </xdr:twoCellAnchor>
  <xdr:twoCellAnchor>
    <xdr:from>
      <xdr:col>1</xdr:col>
      <xdr:colOff>54428</xdr:colOff>
      <xdr:row>138</xdr:row>
      <xdr:rowOff>91440</xdr:rowOff>
    </xdr:from>
    <xdr:to>
      <xdr:col>2</xdr:col>
      <xdr:colOff>781557</xdr:colOff>
      <xdr:row>141</xdr:row>
      <xdr:rowOff>129905</xdr:rowOff>
    </xdr:to>
    <xdr:sp macro="" textlink="">
      <xdr:nvSpPr>
        <xdr:cNvPr id="2" name="Rechthoek: afgeronde hoeken 92">
          <a:extLst>
            <a:ext uri="{FF2B5EF4-FFF2-40B4-BE49-F238E27FC236}">
              <a16:creationId xmlns:a16="http://schemas.microsoft.com/office/drawing/2014/main" id="{F9CC3429-F720-446D-B934-941D3EF31236}"/>
            </a:ext>
          </a:extLst>
        </xdr:cNvPr>
        <xdr:cNvSpPr/>
      </xdr:nvSpPr>
      <xdr:spPr>
        <a:xfrm>
          <a:off x="585107" y="26870297"/>
          <a:ext cx="2768200" cy="569144"/>
        </a:xfrm>
        <a:prstGeom prst="roundRect">
          <a:avLst/>
        </a:prstGeom>
        <a:solidFill>
          <a:schemeClr val="accent2"/>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511084</xdr:colOff>
      <xdr:row>139</xdr:row>
      <xdr:rowOff>50618</xdr:rowOff>
    </xdr:from>
    <xdr:to>
      <xdr:col>2</xdr:col>
      <xdr:colOff>576475</xdr:colOff>
      <xdr:row>141</xdr:row>
      <xdr:rowOff>21745</xdr:rowOff>
    </xdr:to>
    <xdr:sp macro="" textlink="">
      <xdr:nvSpPr>
        <xdr:cNvPr id="4" name="Tijdelijke aanduiding voor inhoud 1">
          <a:extLst>
            <a:ext uri="{FF2B5EF4-FFF2-40B4-BE49-F238E27FC236}">
              <a16:creationId xmlns:a16="http://schemas.microsoft.com/office/drawing/2014/main" id="{15AB4CE8-B032-46E5-BD6A-1B26EC920AE5}"/>
            </a:ext>
          </a:extLst>
        </xdr:cNvPr>
        <xdr:cNvSpPr>
          <a:spLocks noGrp="1"/>
        </xdr:cNvSpPr>
      </xdr:nvSpPr>
      <xdr:spPr>
        <a:xfrm>
          <a:off x="511084" y="26720618"/>
          <a:ext cx="2637141" cy="324913"/>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400" b="1" baseline="0">
              <a:solidFill>
                <a:schemeClr val="bg1"/>
              </a:solidFill>
              <a:latin typeface="Verdana" panose="020B0604030504040204" pitchFamily="34" charset="0"/>
              <a:ea typeface="Verdana" panose="020B0604030504040204" pitchFamily="34" charset="0"/>
            </a:rPr>
            <a:t>Energie achtergrond</a:t>
          </a:r>
        </a:p>
        <a:p>
          <a:pPr marL="0" indent="0">
            <a:buNone/>
          </a:pPr>
          <a:endParaRPr lang="nl-NL" sz="1800">
            <a:solidFill>
              <a:schemeClr val="bg1"/>
            </a:solidFill>
          </a:endParaRPr>
        </a:p>
      </xdr:txBody>
    </xdr:sp>
    <xdr:clientData/>
  </xdr:twoCellAnchor>
  <xdr:twoCellAnchor editAs="oneCell">
    <xdr:from>
      <xdr:col>14</xdr:col>
      <xdr:colOff>1156607</xdr:colOff>
      <xdr:row>0</xdr:row>
      <xdr:rowOff>0</xdr:rowOff>
    </xdr:from>
    <xdr:to>
      <xdr:col>16</xdr:col>
      <xdr:colOff>701343</xdr:colOff>
      <xdr:row>4</xdr:row>
      <xdr:rowOff>95040</xdr:rowOff>
    </xdr:to>
    <xdr:pic>
      <xdr:nvPicPr>
        <xdr:cNvPr id="7" name="Picture 5">
          <a:extLst>
            <a:ext uri="{FF2B5EF4-FFF2-40B4-BE49-F238E27FC236}">
              <a16:creationId xmlns:a16="http://schemas.microsoft.com/office/drawing/2014/main" id="{84C9E5AD-3C36-4D10-BC16-8CAD167417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00" y="0"/>
          <a:ext cx="1939321" cy="788460"/>
        </a:xfrm>
        <a:prstGeom prst="rect">
          <a:avLst/>
        </a:prstGeom>
      </xdr:spPr>
    </xdr:pic>
    <xdr:clientData/>
  </xdr:twoCellAnchor>
  <xdr:twoCellAnchor editAs="oneCell">
    <xdr:from>
      <xdr:col>1</xdr:col>
      <xdr:colOff>10885</xdr:colOff>
      <xdr:row>154</xdr:row>
      <xdr:rowOff>54276</xdr:rowOff>
    </xdr:from>
    <xdr:to>
      <xdr:col>4</xdr:col>
      <xdr:colOff>740501</xdr:colOff>
      <xdr:row>161</xdr:row>
      <xdr:rowOff>132806</xdr:rowOff>
    </xdr:to>
    <xdr:pic>
      <xdr:nvPicPr>
        <xdr:cNvPr id="5" name="Picture 4">
          <a:extLst>
            <a:ext uri="{FF2B5EF4-FFF2-40B4-BE49-F238E27FC236}">
              <a16:creationId xmlns:a16="http://schemas.microsoft.com/office/drawing/2014/main" id="{DFAC5A03-7716-C45E-F222-F043FE3228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399" y="27812847"/>
          <a:ext cx="5350330" cy="13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69023</xdr:colOff>
      <xdr:row>125</xdr:row>
      <xdr:rowOff>19865</xdr:rowOff>
    </xdr:from>
    <xdr:to>
      <xdr:col>15</xdr:col>
      <xdr:colOff>532150</xdr:colOff>
      <xdr:row>143</xdr:row>
      <xdr:rowOff>43542</xdr:rowOff>
    </xdr:to>
    <xdr:sp macro="" textlink="">
      <xdr:nvSpPr>
        <xdr:cNvPr id="14" name="Tijdelijke aanduiding voor inhoud 1">
          <a:extLst>
            <a:ext uri="{FF2B5EF4-FFF2-40B4-BE49-F238E27FC236}">
              <a16:creationId xmlns:a16="http://schemas.microsoft.com/office/drawing/2014/main" id="{8DA89DAC-0D87-8A60-E817-9F8FCE850440}"/>
            </a:ext>
          </a:extLst>
        </xdr:cNvPr>
        <xdr:cNvSpPr>
          <a:spLocks noGrp="1"/>
        </xdr:cNvSpPr>
      </xdr:nvSpPr>
      <xdr:spPr>
        <a:xfrm>
          <a:off x="10954737" y="24828408"/>
          <a:ext cx="8311727" cy="3311163"/>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200" b="1"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Beschrijving</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20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In de dataset voor afvalverbranding en recycling is transport verwerkt. Voor de kringloop en internetverkoop zal transport apart berekend en toegevoegd moeten worden.</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20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Op basis van de bron hieronder</a:t>
          </a:r>
          <a:r>
            <a:rPr kumimoji="0" lang="nl-NL" sz="1200" b="0" i="0" u="none" strike="noStrike" kern="1200" cap="none" spc="0" normalizeH="0" baseline="30000" noProof="0">
              <a:ln>
                <a:noFill/>
              </a:ln>
              <a:solidFill>
                <a:srgbClr val="181A35"/>
              </a:solidFill>
              <a:effectLst/>
              <a:uLnTx/>
              <a:uFillTx/>
              <a:latin typeface="Verdana" panose="020B0604030504040204" pitchFamily="34" charset="0"/>
              <a:ea typeface="Verdana" panose="020B0604030504040204" pitchFamily="34" charset="0"/>
              <a:cs typeface="+mn-cs"/>
            </a:rPr>
            <a:t>3</a:t>
          </a:r>
          <a:r>
            <a:rPr kumimoji="0" lang="nl-NL" sz="120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 is een schatting gemaakt van de gemiddelde afstand naar een kringlooporganisatie, gebaseerd op de hoeveelheid locaties in Nederland. Er zijn veel meer dan 15 kringlooporganisaties in Nederland, daarom wordt er uitgegaan van een afstand van 15 km. De gemiddelde hoeveelheid die weggebracht wordt wordt geschat op 32,5 kg (schatting Ronald/Auke 30-35 kg). </a:t>
          </a:r>
          <a:r>
            <a:rPr kumimoji="0" lang="nl-NL" sz="1200" b="0" i="0" u="none" strike="noStrike" kern="1200" cap="none" spc="0" normalizeH="0" baseline="0" noProof="0">
              <a:ln>
                <a:noFill/>
              </a:ln>
              <a:solidFill>
                <a:schemeClr val="tx2"/>
              </a:solidFill>
              <a:effectLst/>
              <a:uLnTx/>
              <a:uFillTx/>
              <a:latin typeface="Verdana" panose="020B0604030504040204" pitchFamily="34" charset="0"/>
              <a:ea typeface="Verdana" panose="020B0604030504040204" pitchFamily="34" charset="0"/>
              <a:cs typeface="+mn-cs"/>
            </a:rPr>
            <a:t>Deze 15 km wordt keer 4 gedaan om ook het transport van de kringloop naar de klant mee te nemen. Gezien wordt aangenomen dat persoon A heen en weer rijdt bij het brengen en persoon B heen en weeer rijdt bij het halen.</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20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Voor internetverkoop (Marktplaats, Vinted) zal deze afstand verder zijn, hierbij wordt een schatting gemaakt van 150 km. Deze 150 km wordt keer 2 gedaan, heen en terug.</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20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Dit transport gebeurt bij zowel kringlooporganisaties als internetverkoop deels met de auto en deels met een vrachtwagen. De verdeling hiervoor is gebasseerd op data van BKN, echter is dit is alleen beschikbaar voor het totaal en niet voor de productgroepen specifiek. Hierom zijn daarvoor de nodige aannames gemaakt.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372417</xdr:colOff>
      <xdr:row>39</xdr:row>
      <xdr:rowOff>82539</xdr:rowOff>
    </xdr:from>
    <xdr:to>
      <xdr:col>5</xdr:col>
      <xdr:colOff>706161</xdr:colOff>
      <xdr:row>49</xdr:row>
      <xdr:rowOff>17594</xdr:rowOff>
    </xdr:to>
    <xdr:pic>
      <xdr:nvPicPr>
        <xdr:cNvPr id="9" name="Afbeelding 8">
          <a:extLst>
            <a:ext uri="{FF2B5EF4-FFF2-40B4-BE49-F238E27FC236}">
              <a16:creationId xmlns:a16="http://schemas.microsoft.com/office/drawing/2014/main" id="{F4A19F38-9D9F-651B-ED30-F3F611584B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2417" y="8473101"/>
          <a:ext cx="5976911" cy="1687141"/>
        </a:xfrm>
        <a:prstGeom prst="rect">
          <a:avLst/>
        </a:prstGeom>
      </xdr:spPr>
    </xdr:pic>
    <xdr:clientData/>
  </xdr:twoCellAnchor>
  <xdr:twoCellAnchor editAs="oneCell">
    <xdr:from>
      <xdr:col>0</xdr:col>
      <xdr:colOff>392943</xdr:colOff>
      <xdr:row>53</xdr:row>
      <xdr:rowOff>154513</xdr:rowOff>
    </xdr:from>
    <xdr:to>
      <xdr:col>4</xdr:col>
      <xdr:colOff>669703</xdr:colOff>
      <xdr:row>76</xdr:row>
      <xdr:rowOff>135428</xdr:rowOff>
    </xdr:to>
    <xdr:pic>
      <xdr:nvPicPr>
        <xdr:cNvPr id="16" name="Afbeelding 12">
          <a:extLst>
            <a:ext uri="{FF2B5EF4-FFF2-40B4-BE49-F238E27FC236}">
              <a16:creationId xmlns:a16="http://schemas.microsoft.com/office/drawing/2014/main" id="{BE1EF4EE-FC9F-9A9F-E022-8746B3763E33}"/>
            </a:ext>
          </a:extLst>
        </xdr:cNvPr>
        <xdr:cNvPicPr>
          <a:picLocks noChangeAspect="1"/>
        </xdr:cNvPicPr>
      </xdr:nvPicPr>
      <xdr:blipFill rotWithShape="1">
        <a:blip xmlns:r="http://schemas.openxmlformats.org/officeDocument/2006/relationships" r:embed="rId2"/>
        <a:srcRect b="32405"/>
        <a:stretch/>
      </xdr:blipFill>
      <xdr:spPr>
        <a:xfrm>
          <a:off x="392943" y="11038698"/>
          <a:ext cx="5194806" cy="3925057"/>
        </a:xfrm>
        <a:prstGeom prst="rect">
          <a:avLst/>
        </a:prstGeom>
      </xdr:spPr>
    </xdr:pic>
    <xdr:clientData/>
  </xdr:twoCellAnchor>
  <xdr:twoCellAnchor>
    <xdr:from>
      <xdr:col>0</xdr:col>
      <xdr:colOff>560070</xdr:colOff>
      <xdr:row>23</xdr:row>
      <xdr:rowOff>26670</xdr:rowOff>
    </xdr:from>
    <xdr:to>
      <xdr:col>6</xdr:col>
      <xdr:colOff>510540</xdr:colOff>
      <xdr:row>34</xdr:row>
      <xdr:rowOff>123825</xdr:rowOff>
    </xdr:to>
    <xdr:sp macro="" textlink="">
      <xdr:nvSpPr>
        <xdr:cNvPr id="5" name="Rechthoek: afgeronde hoeken 92">
          <a:extLst>
            <a:ext uri="{FF2B5EF4-FFF2-40B4-BE49-F238E27FC236}">
              <a16:creationId xmlns:a16="http://schemas.microsoft.com/office/drawing/2014/main" id="{188960EE-76EF-459B-B419-10758F8185C9}"/>
            </a:ext>
          </a:extLst>
        </xdr:cNvPr>
        <xdr:cNvSpPr/>
      </xdr:nvSpPr>
      <xdr:spPr>
        <a:xfrm>
          <a:off x="560070" y="5179695"/>
          <a:ext cx="6351270" cy="1983105"/>
        </a:xfrm>
        <a:prstGeom prst="roundRect">
          <a:avLst/>
        </a:prstGeom>
        <a:solidFill>
          <a:schemeClr val="accent4"/>
        </a:solidFill>
        <a:ln w="571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50" b="1"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Beschrijving</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050" b="1"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5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In dit tabblad wordt de impact van de verschillende (verwerkings)routes berekend. De verschillende routes zijn hergebruik, recycling en verbranding. Om de impact van hergebruik te achterhalen, is de impact van de productie berekend. De impact van deze drie routes verschilt per materiaal. Hierom is van iedere categorie die bij de kringloop wordt verkocht, de materiaalsamenstelling bepaald.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05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nl-NL" sz="1050" b="0" i="0" u="none" strike="noStrike" kern="0" cap="none" spc="0" normalizeH="0" baseline="0" noProof="0">
              <a:ln>
                <a:noFill/>
              </a:ln>
              <a:solidFill>
                <a:schemeClr val="accent1"/>
              </a:solidFill>
              <a:effectLst/>
              <a:uLnTx/>
              <a:uFillTx/>
              <a:latin typeface="Verdana" panose="020B0604030504040204" pitchFamily="34" charset="0"/>
              <a:ea typeface="Verdana" panose="020B0604030504040204" pitchFamily="34" charset="0"/>
              <a:cs typeface="+mn-cs"/>
            </a:rPr>
            <a:t>Helemaal rechts, in het donkergroen, is de impact CO2 per kg product te zien. Deze waardes worden gebruikt in de rekensheet.</a:t>
          </a:r>
        </a:p>
      </xdr:txBody>
    </xdr:sp>
    <xdr:clientData/>
  </xdr:twoCellAnchor>
  <xdr:twoCellAnchor>
    <xdr:from>
      <xdr:col>1</xdr:col>
      <xdr:colOff>183790</xdr:colOff>
      <xdr:row>0</xdr:row>
      <xdr:rowOff>133911</xdr:rowOff>
    </xdr:from>
    <xdr:to>
      <xdr:col>11</xdr:col>
      <xdr:colOff>241128</xdr:colOff>
      <xdr:row>4</xdr:row>
      <xdr:rowOff>91440</xdr:rowOff>
    </xdr:to>
    <xdr:sp macro="" textlink="">
      <xdr:nvSpPr>
        <xdr:cNvPr id="4" name="TextBox 5">
          <a:extLst>
            <a:ext uri="{FF2B5EF4-FFF2-40B4-BE49-F238E27FC236}">
              <a16:creationId xmlns:a16="http://schemas.microsoft.com/office/drawing/2014/main" id="{D2B9F38D-4AFF-4307-8393-CD3C12DECDFA}"/>
            </a:ext>
          </a:extLst>
        </xdr:cNvPr>
        <xdr:cNvSpPr txBox="1"/>
      </xdr:nvSpPr>
      <xdr:spPr>
        <a:xfrm>
          <a:off x="181885" y="130101"/>
          <a:ext cx="10445303" cy="698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3600" b="1">
              <a:solidFill>
                <a:schemeClr val="bg1"/>
              </a:solidFill>
              <a:latin typeface="+mj-lt"/>
            </a:rPr>
            <a:t>Samenstelling: productcategorieën</a:t>
          </a:r>
        </a:p>
        <a:p>
          <a:endParaRPr lang="nl-NL" sz="3600" b="1">
            <a:solidFill>
              <a:schemeClr val="bg1"/>
            </a:solidFill>
            <a:latin typeface="+mj-lt"/>
          </a:endParaRPr>
        </a:p>
      </xdr:txBody>
    </xdr:sp>
    <xdr:clientData/>
  </xdr:twoCellAnchor>
  <xdr:twoCellAnchor editAs="oneCell">
    <xdr:from>
      <xdr:col>20</xdr:col>
      <xdr:colOff>153926</xdr:colOff>
      <xdr:row>1</xdr:row>
      <xdr:rowOff>51654</xdr:rowOff>
    </xdr:from>
    <xdr:to>
      <xdr:col>21</xdr:col>
      <xdr:colOff>591351</xdr:colOff>
      <xdr:row>3</xdr:row>
      <xdr:rowOff>130632</xdr:rowOff>
    </xdr:to>
    <xdr:pic>
      <xdr:nvPicPr>
        <xdr:cNvPr id="13" name="Picture 30">
          <a:extLst>
            <a:ext uri="{FF2B5EF4-FFF2-40B4-BE49-F238E27FC236}">
              <a16:creationId xmlns:a16="http://schemas.microsoft.com/office/drawing/2014/main" id="{E08C0202-5F08-44F2-9402-F1141E2918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03617" y="212188"/>
          <a:ext cx="1035595" cy="408543"/>
        </a:xfrm>
        <a:prstGeom prst="rect">
          <a:avLst/>
        </a:prstGeom>
      </xdr:spPr>
    </xdr:pic>
    <xdr:clientData/>
  </xdr:twoCellAnchor>
  <xdr:twoCellAnchor>
    <xdr:from>
      <xdr:col>0</xdr:col>
      <xdr:colOff>0</xdr:colOff>
      <xdr:row>4</xdr:row>
      <xdr:rowOff>0</xdr:rowOff>
    </xdr:from>
    <xdr:to>
      <xdr:col>31</xdr:col>
      <xdr:colOff>16895</xdr:colOff>
      <xdr:row>6</xdr:row>
      <xdr:rowOff>2156</xdr:rowOff>
    </xdr:to>
    <xdr:grpSp>
      <xdr:nvGrpSpPr>
        <xdr:cNvPr id="7" name="Groep 95">
          <a:extLst>
            <a:ext uri="{FF2B5EF4-FFF2-40B4-BE49-F238E27FC236}">
              <a16:creationId xmlns:a16="http://schemas.microsoft.com/office/drawing/2014/main" id="{10C7911D-C581-420E-8972-0CC19229A8AB}"/>
            </a:ext>
          </a:extLst>
        </xdr:cNvPr>
        <xdr:cNvGrpSpPr/>
      </xdr:nvGrpSpPr>
      <xdr:grpSpPr>
        <a:xfrm>
          <a:off x="0" y="646339"/>
          <a:ext cx="23038480" cy="325326"/>
          <a:chOff x="1" y="593910"/>
          <a:chExt cx="25543580" cy="341247"/>
        </a:xfrm>
      </xdr:grpSpPr>
      <xdr:sp macro="" textlink="">
        <xdr:nvSpPr>
          <xdr:cNvPr id="8" name="Rectangle 8">
            <a:extLst>
              <a:ext uri="{FF2B5EF4-FFF2-40B4-BE49-F238E27FC236}">
                <a16:creationId xmlns:a16="http://schemas.microsoft.com/office/drawing/2014/main" id="{598D9E0E-63D3-7989-59C2-86C07BD9D90F}"/>
              </a:ext>
              <a:ext uri="{147F2762-F138-4A5C-976F-8EAC2B608ADB}">
                <a16:predDERef xmlns:a16="http://schemas.microsoft.com/office/drawing/2014/main" pred="{00000000-0008-0000-0300-00000E000000}"/>
              </a:ext>
            </a:extLst>
          </xdr:cNvPr>
          <xdr:cNvSpPr/>
        </xdr:nvSpPr>
        <xdr:spPr>
          <a:xfrm>
            <a:off x="1" y="714813"/>
            <a:ext cx="25543580" cy="61213"/>
          </a:xfrm>
          <a:prstGeom prst="rect">
            <a:avLst/>
          </a:prstGeom>
          <a:gradFill flip="none" rotWithShape="1">
            <a:gsLst>
              <a:gs pos="0">
                <a:srgbClr val="5AA760"/>
              </a:gs>
              <a:gs pos="50000">
                <a:srgbClr val="BCD41B"/>
              </a:gs>
              <a:gs pos="100000">
                <a:srgbClr val="17BCD6"/>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0" name="Freeform: Shape 21">
            <a:extLst>
              <a:ext uri="{FF2B5EF4-FFF2-40B4-BE49-F238E27FC236}">
                <a16:creationId xmlns:a16="http://schemas.microsoft.com/office/drawing/2014/main" id="{72DDD6D9-4CFF-B3A2-5F93-B64525EBA3F7}"/>
              </a:ext>
            </a:extLst>
          </xdr:cNvPr>
          <xdr:cNvSpPr/>
        </xdr:nvSpPr>
        <xdr:spPr>
          <a:xfrm rot="10800000" flipH="1" flipV="1">
            <a:off x="13008698" y="763920"/>
            <a:ext cx="6501077" cy="171237"/>
          </a:xfrm>
          <a:custGeom>
            <a:avLst/>
            <a:gdLst>
              <a:gd name="connsiteX0" fmla="*/ 1888223 w 4050434"/>
              <a:gd name="connsiteY0" fmla="*/ 466180 h 466180"/>
              <a:gd name="connsiteX1" fmla="*/ 2025217 w 4050434"/>
              <a:gd name="connsiteY1" fmla="*/ 465510 h 466180"/>
              <a:gd name="connsiteX2" fmla="*/ 2162211 w 4050434"/>
              <a:gd name="connsiteY2" fmla="*/ 466180 h 466180"/>
              <a:gd name="connsiteX3" fmla="*/ 4050434 w 4050434"/>
              <a:gd name="connsiteY3" fmla="*/ 17828 h 466180"/>
              <a:gd name="connsiteX4" fmla="*/ 4050434 w 4050434"/>
              <a:gd name="connsiteY4" fmla="*/ 0 h 466180"/>
              <a:gd name="connsiteX5" fmla="*/ 0 w 4050434"/>
              <a:gd name="connsiteY5" fmla="*/ 0 h 466180"/>
              <a:gd name="connsiteX6" fmla="*/ 0 w 4050434"/>
              <a:gd name="connsiteY6" fmla="*/ 17829 h 466180"/>
              <a:gd name="connsiteX7" fmla="*/ 1888223 w 4050434"/>
              <a:gd name="connsiteY7" fmla="*/ 466180 h 466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50434" h="466180">
                <a:moveTo>
                  <a:pt x="1888223" y="466180"/>
                </a:moveTo>
                <a:lnTo>
                  <a:pt x="2025217" y="465510"/>
                </a:lnTo>
                <a:lnTo>
                  <a:pt x="2162211" y="466180"/>
                </a:lnTo>
                <a:cubicBezTo>
                  <a:pt x="2791618" y="435341"/>
                  <a:pt x="3043381" y="17828"/>
                  <a:pt x="4050434" y="17828"/>
                </a:cubicBezTo>
                <a:lnTo>
                  <a:pt x="4050434" y="0"/>
                </a:lnTo>
                <a:lnTo>
                  <a:pt x="0" y="0"/>
                </a:lnTo>
                <a:lnTo>
                  <a:pt x="0" y="17829"/>
                </a:lnTo>
                <a:cubicBezTo>
                  <a:pt x="1007053" y="17829"/>
                  <a:pt x="1258816" y="435341"/>
                  <a:pt x="1888223" y="466180"/>
                </a:cubicBezTo>
                <a:close/>
              </a:path>
            </a:pathLst>
          </a:custGeom>
          <a:gradFill>
            <a:gsLst>
              <a:gs pos="80366">
                <a:srgbClr val="7CCB63"/>
              </a:gs>
              <a:gs pos="51400">
                <a:srgbClr val="9CCF40"/>
              </a:gs>
              <a:gs pos="0">
                <a:srgbClr val="B7D11F"/>
              </a:gs>
              <a:gs pos="100000">
                <a:srgbClr val="67C87B"/>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1" name="Freeform: Shape 20">
            <a:extLst>
              <a:ext uri="{FF2B5EF4-FFF2-40B4-BE49-F238E27FC236}">
                <a16:creationId xmlns:a16="http://schemas.microsoft.com/office/drawing/2014/main" id="{B273DF9B-E1DD-980E-3516-EB3924FDD5D8}"/>
              </a:ext>
            </a:extLst>
          </xdr:cNvPr>
          <xdr:cNvSpPr/>
        </xdr:nvSpPr>
        <xdr:spPr>
          <a:xfrm rot="10800000" flipH="1">
            <a:off x="17385803" y="593910"/>
            <a:ext cx="8095973" cy="146049"/>
          </a:xfrm>
          <a:custGeom>
            <a:avLst/>
            <a:gdLst>
              <a:gd name="connsiteX0" fmla="*/ 1888223 w 4050434"/>
              <a:gd name="connsiteY0" fmla="*/ 466180 h 466180"/>
              <a:gd name="connsiteX1" fmla="*/ 2025217 w 4050434"/>
              <a:gd name="connsiteY1" fmla="*/ 465510 h 466180"/>
              <a:gd name="connsiteX2" fmla="*/ 2162211 w 4050434"/>
              <a:gd name="connsiteY2" fmla="*/ 466180 h 466180"/>
              <a:gd name="connsiteX3" fmla="*/ 4050434 w 4050434"/>
              <a:gd name="connsiteY3" fmla="*/ 17828 h 466180"/>
              <a:gd name="connsiteX4" fmla="*/ 4050434 w 4050434"/>
              <a:gd name="connsiteY4" fmla="*/ 0 h 466180"/>
              <a:gd name="connsiteX5" fmla="*/ 0 w 4050434"/>
              <a:gd name="connsiteY5" fmla="*/ 0 h 466180"/>
              <a:gd name="connsiteX6" fmla="*/ 0 w 4050434"/>
              <a:gd name="connsiteY6" fmla="*/ 17829 h 466180"/>
              <a:gd name="connsiteX7" fmla="*/ 1888223 w 4050434"/>
              <a:gd name="connsiteY7" fmla="*/ 466180 h 466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50434" h="466180">
                <a:moveTo>
                  <a:pt x="1888223" y="466180"/>
                </a:moveTo>
                <a:lnTo>
                  <a:pt x="2025217" y="465510"/>
                </a:lnTo>
                <a:lnTo>
                  <a:pt x="2162211" y="466180"/>
                </a:lnTo>
                <a:cubicBezTo>
                  <a:pt x="2791618" y="435341"/>
                  <a:pt x="3043381" y="17828"/>
                  <a:pt x="4050434" y="17828"/>
                </a:cubicBezTo>
                <a:lnTo>
                  <a:pt x="4050434" y="0"/>
                </a:lnTo>
                <a:lnTo>
                  <a:pt x="0" y="0"/>
                </a:lnTo>
                <a:lnTo>
                  <a:pt x="0" y="17829"/>
                </a:lnTo>
                <a:cubicBezTo>
                  <a:pt x="1007053" y="17829"/>
                  <a:pt x="1258816" y="435341"/>
                  <a:pt x="1888223" y="466180"/>
                </a:cubicBezTo>
                <a:close/>
              </a:path>
            </a:pathLst>
          </a:custGeom>
          <a:gradFill>
            <a:gsLst>
              <a:gs pos="51400">
                <a:srgbClr val="51C494"/>
              </a:gs>
              <a:gs pos="0">
                <a:srgbClr val="8FCD4E"/>
              </a:gs>
              <a:gs pos="100000">
                <a:srgbClr val="17BCD6"/>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clientData/>
  </xdr:twoCellAnchor>
  <xdr:twoCellAnchor editAs="oneCell">
    <xdr:from>
      <xdr:col>16</xdr:col>
      <xdr:colOff>361950</xdr:colOff>
      <xdr:row>0</xdr:row>
      <xdr:rowOff>0</xdr:rowOff>
    </xdr:from>
    <xdr:to>
      <xdr:col>19</xdr:col>
      <xdr:colOff>475465</xdr:colOff>
      <xdr:row>5</xdr:row>
      <xdr:rowOff>878</xdr:rowOff>
    </xdr:to>
    <xdr:pic>
      <xdr:nvPicPr>
        <xdr:cNvPr id="12" name="Picture 5">
          <a:extLst>
            <a:ext uri="{FF2B5EF4-FFF2-40B4-BE49-F238E27FC236}">
              <a16:creationId xmlns:a16="http://schemas.microsoft.com/office/drawing/2014/main" id="{7E7619B4-111D-4979-88CB-9FF20813FB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430375" y="0"/>
          <a:ext cx="2001370" cy="8581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601980</xdr:colOff>
      <xdr:row>141</xdr:row>
      <xdr:rowOff>121920</xdr:rowOff>
    </xdr:from>
    <xdr:to>
      <xdr:col>3</xdr:col>
      <xdr:colOff>862965</xdr:colOff>
      <xdr:row>144</xdr:row>
      <xdr:rowOff>45720</xdr:rowOff>
    </xdr:to>
    <xdr:sp macro="" textlink="">
      <xdr:nvSpPr>
        <xdr:cNvPr id="16" name="Rechthoek: afgeronde hoeken 92">
          <a:extLst>
            <a:ext uri="{FF2B5EF4-FFF2-40B4-BE49-F238E27FC236}">
              <a16:creationId xmlns:a16="http://schemas.microsoft.com/office/drawing/2014/main" id="{156C9E9C-7AB2-4D7E-BD60-0DEAEAB94BCB}"/>
            </a:ext>
          </a:extLst>
        </xdr:cNvPr>
        <xdr:cNvSpPr/>
      </xdr:nvSpPr>
      <xdr:spPr>
        <a:xfrm>
          <a:off x="601980" y="26382345"/>
          <a:ext cx="3699510" cy="409575"/>
        </a:xfrm>
        <a:prstGeom prst="roundRect">
          <a:avLst/>
        </a:prstGeom>
        <a:solidFill>
          <a:schemeClr val="accent4"/>
        </a:solidFill>
        <a:ln w="57150" cap="flat" cmpd="sng" algn="ctr">
          <a:solidFill>
            <a:schemeClr val="accent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171450</xdr:colOff>
      <xdr:row>97</xdr:row>
      <xdr:rowOff>123825</xdr:rowOff>
    </xdr:from>
    <xdr:to>
      <xdr:col>3</xdr:col>
      <xdr:colOff>432435</xdr:colOff>
      <xdr:row>100</xdr:row>
      <xdr:rowOff>47625</xdr:rowOff>
    </xdr:to>
    <xdr:sp macro="" textlink="">
      <xdr:nvSpPr>
        <xdr:cNvPr id="15" name="Rechthoek: afgeronde hoeken 92">
          <a:extLst>
            <a:ext uri="{FF2B5EF4-FFF2-40B4-BE49-F238E27FC236}">
              <a16:creationId xmlns:a16="http://schemas.microsoft.com/office/drawing/2014/main" id="{6E2129FB-CFEE-4AC6-8A62-CDC5AD0B4385}"/>
            </a:ext>
          </a:extLst>
        </xdr:cNvPr>
        <xdr:cNvSpPr/>
      </xdr:nvSpPr>
      <xdr:spPr>
        <a:xfrm>
          <a:off x="171450" y="14887575"/>
          <a:ext cx="3699510" cy="409575"/>
        </a:xfrm>
        <a:prstGeom prst="roundRect">
          <a:avLst/>
        </a:prstGeom>
        <a:solidFill>
          <a:schemeClr val="accent4"/>
        </a:solidFill>
        <a:ln w="57150" cap="flat" cmpd="sng" algn="ctr">
          <a:solidFill>
            <a:schemeClr val="accent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161925</xdr:colOff>
      <xdr:row>81</xdr:row>
      <xdr:rowOff>57150</xdr:rowOff>
    </xdr:from>
    <xdr:to>
      <xdr:col>3</xdr:col>
      <xdr:colOff>422910</xdr:colOff>
      <xdr:row>83</xdr:row>
      <xdr:rowOff>142875</xdr:rowOff>
    </xdr:to>
    <xdr:sp macro="" textlink="">
      <xdr:nvSpPr>
        <xdr:cNvPr id="14" name="Rechthoek: afgeronde hoeken 92">
          <a:extLst>
            <a:ext uri="{FF2B5EF4-FFF2-40B4-BE49-F238E27FC236}">
              <a16:creationId xmlns:a16="http://schemas.microsoft.com/office/drawing/2014/main" id="{3E9ECDDF-2B9E-4677-8860-265007A000DB}"/>
            </a:ext>
          </a:extLst>
        </xdr:cNvPr>
        <xdr:cNvSpPr/>
      </xdr:nvSpPr>
      <xdr:spPr>
        <a:xfrm>
          <a:off x="161925" y="11715750"/>
          <a:ext cx="3699510" cy="409575"/>
        </a:xfrm>
        <a:prstGeom prst="roundRect">
          <a:avLst/>
        </a:prstGeom>
        <a:solidFill>
          <a:schemeClr val="accent4"/>
        </a:solidFill>
        <a:ln w="57150" cap="flat" cmpd="sng" algn="ctr">
          <a:solidFill>
            <a:schemeClr val="accent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161925</xdr:colOff>
      <xdr:row>72</xdr:row>
      <xdr:rowOff>104775</xdr:rowOff>
    </xdr:from>
    <xdr:to>
      <xdr:col>3</xdr:col>
      <xdr:colOff>422910</xdr:colOff>
      <xdr:row>75</xdr:row>
      <xdr:rowOff>28575</xdr:rowOff>
    </xdr:to>
    <xdr:sp macro="" textlink="">
      <xdr:nvSpPr>
        <xdr:cNvPr id="13" name="Rechthoek: afgeronde hoeken 92">
          <a:extLst>
            <a:ext uri="{FF2B5EF4-FFF2-40B4-BE49-F238E27FC236}">
              <a16:creationId xmlns:a16="http://schemas.microsoft.com/office/drawing/2014/main" id="{5BE6966B-9911-4054-8635-E0FDB95DD3E7}"/>
            </a:ext>
          </a:extLst>
        </xdr:cNvPr>
        <xdr:cNvSpPr/>
      </xdr:nvSpPr>
      <xdr:spPr>
        <a:xfrm>
          <a:off x="161925" y="9982200"/>
          <a:ext cx="3699510" cy="409575"/>
        </a:xfrm>
        <a:prstGeom prst="roundRect">
          <a:avLst/>
        </a:prstGeom>
        <a:solidFill>
          <a:schemeClr val="accent4"/>
        </a:solidFill>
        <a:ln w="57150" cap="flat" cmpd="sng" algn="ctr">
          <a:solidFill>
            <a:schemeClr val="accent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156210</xdr:colOff>
      <xdr:row>72</xdr:row>
      <xdr:rowOff>135255</xdr:rowOff>
    </xdr:from>
    <xdr:to>
      <xdr:col>4</xdr:col>
      <xdr:colOff>320040</xdr:colOff>
      <xdr:row>75</xdr:row>
      <xdr:rowOff>51435</xdr:rowOff>
    </xdr:to>
    <xdr:sp macro="" textlink="">
      <xdr:nvSpPr>
        <xdr:cNvPr id="3" name="Tijdelijke aanduiding voor inhoud 1">
          <a:extLst>
            <a:ext uri="{FF2B5EF4-FFF2-40B4-BE49-F238E27FC236}">
              <a16:creationId xmlns:a16="http://schemas.microsoft.com/office/drawing/2014/main" id="{23B4BEC4-F38B-4FF6-970E-118E8B4A1C35}"/>
            </a:ext>
          </a:extLst>
        </xdr:cNvPr>
        <xdr:cNvSpPr>
          <a:spLocks noGrp="1"/>
        </xdr:cNvSpPr>
      </xdr:nvSpPr>
      <xdr:spPr>
        <a:xfrm>
          <a:off x="156210" y="10216515"/>
          <a:ext cx="4545330" cy="396240"/>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800" b="1" i="0" u="none" strike="noStrike" kern="1200" cap="none" spc="0" normalizeH="0" baseline="0" noProof="0">
              <a:ln>
                <a:noFill/>
              </a:ln>
              <a:solidFill>
                <a:srgbClr val="181A35"/>
              </a:solidFill>
              <a:effectLst/>
              <a:uLnTx/>
              <a:uFillTx/>
              <a:latin typeface="Calibri" panose="020F0502020204030204"/>
              <a:ea typeface="+mn-ea"/>
              <a:cs typeface="+mn-cs"/>
            </a:rPr>
            <a:t>Impact transport</a:t>
          </a:r>
          <a:endParaRPr kumimoji="0" lang="en-US" sz="2000" b="0" i="0" u="none" strike="noStrike" kern="1200" cap="none" spc="0" normalizeH="0" baseline="0" noProof="0">
            <a:ln>
              <a:noFill/>
            </a:ln>
            <a:solidFill>
              <a:srgbClr val="181A35"/>
            </a:solidFill>
            <a:effectLst/>
            <a:uLnTx/>
            <a:uFillTx/>
            <a:latin typeface="Calibri" panose="020F0502020204030204"/>
            <a:ea typeface="+mn-ea"/>
            <a:cs typeface="+mn-cs"/>
          </a:endParaRPr>
        </a:p>
      </xdr:txBody>
    </xdr:sp>
    <xdr:clientData/>
  </xdr:twoCellAnchor>
  <xdr:twoCellAnchor>
    <xdr:from>
      <xdr:col>0</xdr:col>
      <xdr:colOff>169545</xdr:colOff>
      <xdr:row>81</xdr:row>
      <xdr:rowOff>93345</xdr:rowOff>
    </xdr:from>
    <xdr:to>
      <xdr:col>4</xdr:col>
      <xdr:colOff>342900</xdr:colOff>
      <xdr:row>83</xdr:row>
      <xdr:rowOff>171450</xdr:rowOff>
    </xdr:to>
    <xdr:sp macro="" textlink="">
      <xdr:nvSpPr>
        <xdr:cNvPr id="4" name="Tijdelijke aanduiding voor inhoud 1">
          <a:extLst>
            <a:ext uri="{FF2B5EF4-FFF2-40B4-BE49-F238E27FC236}">
              <a16:creationId xmlns:a16="http://schemas.microsoft.com/office/drawing/2014/main" id="{0CA33B23-71CB-40E9-8DD1-5184A3FA5319}"/>
            </a:ext>
          </a:extLst>
        </xdr:cNvPr>
        <xdr:cNvSpPr>
          <a:spLocks noGrp="1"/>
        </xdr:cNvSpPr>
      </xdr:nvSpPr>
      <xdr:spPr>
        <a:xfrm>
          <a:off x="169545" y="11751945"/>
          <a:ext cx="4545330" cy="401955"/>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800" b="1" i="0" u="none" strike="noStrike" kern="1200" cap="none" spc="0" normalizeH="0" baseline="0" noProof="0">
              <a:ln>
                <a:noFill/>
              </a:ln>
              <a:solidFill>
                <a:srgbClr val="181A35"/>
              </a:solidFill>
              <a:effectLst/>
              <a:uLnTx/>
              <a:uFillTx/>
              <a:latin typeface="Calibri" panose="020F0502020204030204"/>
              <a:ea typeface="+mn-ea"/>
              <a:cs typeface="+mn-cs"/>
            </a:rPr>
            <a:t>Impact verbranding</a:t>
          </a:r>
          <a:endParaRPr kumimoji="0" lang="en-US" sz="2000" b="0" i="0" u="none" strike="noStrike" kern="1200" cap="none" spc="0" normalizeH="0" baseline="0" noProof="0">
            <a:ln>
              <a:noFill/>
            </a:ln>
            <a:solidFill>
              <a:srgbClr val="181A35"/>
            </a:solidFill>
            <a:effectLst/>
            <a:uLnTx/>
            <a:uFillTx/>
            <a:latin typeface="Calibri" panose="020F0502020204030204"/>
            <a:ea typeface="+mn-ea"/>
            <a:cs typeface="+mn-cs"/>
          </a:endParaRPr>
        </a:p>
      </xdr:txBody>
    </xdr:sp>
    <xdr:clientData/>
  </xdr:twoCellAnchor>
  <xdr:twoCellAnchor>
    <xdr:from>
      <xdr:col>0</xdr:col>
      <xdr:colOff>182880</xdr:colOff>
      <xdr:row>97</xdr:row>
      <xdr:rowOff>142875</xdr:rowOff>
    </xdr:from>
    <xdr:to>
      <xdr:col>4</xdr:col>
      <xdr:colOff>350520</xdr:colOff>
      <xdr:row>100</xdr:row>
      <xdr:rowOff>57150</xdr:rowOff>
    </xdr:to>
    <xdr:sp macro="" textlink="">
      <xdr:nvSpPr>
        <xdr:cNvPr id="5" name="Tijdelijke aanduiding voor inhoud 1">
          <a:extLst>
            <a:ext uri="{FF2B5EF4-FFF2-40B4-BE49-F238E27FC236}">
              <a16:creationId xmlns:a16="http://schemas.microsoft.com/office/drawing/2014/main" id="{161E0507-71D6-4BB6-B0EE-52C347AC4BFD}"/>
            </a:ext>
          </a:extLst>
        </xdr:cNvPr>
        <xdr:cNvSpPr>
          <a:spLocks noGrp="1"/>
        </xdr:cNvSpPr>
      </xdr:nvSpPr>
      <xdr:spPr>
        <a:xfrm>
          <a:off x="182880" y="14906625"/>
          <a:ext cx="4539615" cy="400050"/>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800" b="1" i="0" u="none" strike="noStrike" kern="1200" cap="none" spc="0" normalizeH="0" baseline="0" noProof="0">
              <a:ln>
                <a:noFill/>
              </a:ln>
              <a:solidFill>
                <a:srgbClr val="181A35"/>
              </a:solidFill>
              <a:effectLst/>
              <a:uLnTx/>
              <a:uFillTx/>
              <a:latin typeface="Calibri" panose="020F0502020204030204"/>
              <a:ea typeface="+mn-ea"/>
              <a:cs typeface="+mn-cs"/>
            </a:rPr>
            <a:t>Impact recycling</a:t>
          </a:r>
          <a:endParaRPr kumimoji="0" lang="en-US" sz="2000" b="0" i="0" u="none" strike="noStrike" kern="1200" cap="none" spc="0" normalizeH="0" baseline="0" noProof="0">
            <a:ln>
              <a:noFill/>
            </a:ln>
            <a:solidFill>
              <a:srgbClr val="181A35"/>
            </a:solidFill>
            <a:effectLst/>
            <a:uLnTx/>
            <a:uFillTx/>
            <a:latin typeface="Calibri" panose="020F0502020204030204"/>
            <a:ea typeface="+mn-ea"/>
            <a:cs typeface="+mn-cs"/>
          </a:endParaRPr>
        </a:p>
      </xdr:txBody>
    </xdr:sp>
    <xdr:clientData/>
  </xdr:twoCellAnchor>
  <xdr:twoCellAnchor>
    <xdr:from>
      <xdr:col>1</xdr:col>
      <xdr:colOff>41910</xdr:colOff>
      <xdr:row>141</xdr:row>
      <xdr:rowOff>160020</xdr:rowOff>
    </xdr:from>
    <xdr:to>
      <xdr:col>5</xdr:col>
      <xdr:colOff>125730</xdr:colOff>
      <xdr:row>144</xdr:row>
      <xdr:rowOff>76200</xdr:rowOff>
    </xdr:to>
    <xdr:sp macro="" textlink="">
      <xdr:nvSpPr>
        <xdr:cNvPr id="17" name="Tijdelijke aanduiding voor inhoud 1">
          <a:extLst>
            <a:ext uri="{FF2B5EF4-FFF2-40B4-BE49-F238E27FC236}">
              <a16:creationId xmlns:a16="http://schemas.microsoft.com/office/drawing/2014/main" id="{E90E1EDB-BBC2-4436-B368-9A511A2F6B14}"/>
            </a:ext>
          </a:extLst>
        </xdr:cNvPr>
        <xdr:cNvSpPr>
          <a:spLocks noGrp="1"/>
        </xdr:cNvSpPr>
      </xdr:nvSpPr>
      <xdr:spPr>
        <a:xfrm>
          <a:off x="651510" y="26420445"/>
          <a:ext cx="4693920" cy="401955"/>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800" b="1" i="0" u="none" strike="noStrike" kern="1200" cap="none" spc="0" normalizeH="0" baseline="0" noProof="0">
              <a:ln>
                <a:noFill/>
              </a:ln>
              <a:solidFill>
                <a:srgbClr val="181A35"/>
              </a:solidFill>
              <a:effectLst/>
              <a:uLnTx/>
              <a:uFillTx/>
              <a:latin typeface="Calibri" panose="020F0502020204030204"/>
              <a:ea typeface="+mn-ea"/>
              <a:cs typeface="+mn-cs"/>
            </a:rPr>
            <a:t>Impact storten</a:t>
          </a:r>
          <a:endParaRPr kumimoji="0" lang="en-US" sz="2000" b="0" i="0" u="none" strike="noStrike" kern="1200" cap="none" spc="0" normalizeH="0" baseline="0" noProof="0">
            <a:ln>
              <a:noFill/>
            </a:ln>
            <a:solidFill>
              <a:srgbClr val="181A35"/>
            </a:solidFill>
            <a:effectLst/>
            <a:uLnTx/>
            <a:uFillTx/>
            <a:latin typeface="Calibri" panose="020F0502020204030204"/>
            <a:ea typeface="+mn-ea"/>
            <a:cs typeface="+mn-cs"/>
          </a:endParaRPr>
        </a:p>
      </xdr:txBody>
    </xdr:sp>
    <xdr:clientData/>
  </xdr:twoCellAnchor>
  <xdr:twoCellAnchor>
    <xdr:from>
      <xdr:col>0</xdr:col>
      <xdr:colOff>247650</xdr:colOff>
      <xdr:row>1</xdr:row>
      <xdr:rowOff>78105</xdr:rowOff>
    </xdr:from>
    <xdr:to>
      <xdr:col>14</xdr:col>
      <xdr:colOff>133350</xdr:colOff>
      <xdr:row>11</xdr:row>
      <xdr:rowOff>11431</xdr:rowOff>
    </xdr:to>
    <xdr:sp macro="" textlink="">
      <xdr:nvSpPr>
        <xdr:cNvPr id="7" name="Rechthoek: afgeronde hoeken 92">
          <a:extLst>
            <a:ext uri="{FF2B5EF4-FFF2-40B4-BE49-F238E27FC236}">
              <a16:creationId xmlns:a16="http://schemas.microsoft.com/office/drawing/2014/main" id="{991CE128-C2AD-4AB8-A4DD-FE001FD03A53}"/>
            </a:ext>
          </a:extLst>
        </xdr:cNvPr>
        <xdr:cNvSpPr/>
      </xdr:nvSpPr>
      <xdr:spPr>
        <a:xfrm>
          <a:off x="247650" y="240030"/>
          <a:ext cx="10963275" cy="1552576"/>
        </a:xfrm>
        <a:prstGeom prst="roundRect">
          <a:avLst/>
        </a:prstGeom>
        <a:solidFill>
          <a:srgbClr val="181A35"/>
        </a:solidFill>
        <a:ln w="57150" cap="flat" cmpd="sng" algn="ctr">
          <a:solidFill>
            <a:srgbClr val="181A3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3</xdr:col>
      <xdr:colOff>203835</xdr:colOff>
      <xdr:row>1</xdr:row>
      <xdr:rowOff>131445</xdr:rowOff>
    </xdr:from>
    <xdr:to>
      <xdr:col>7</xdr:col>
      <xdr:colOff>775335</xdr:colOff>
      <xdr:row>4</xdr:row>
      <xdr:rowOff>9998</xdr:rowOff>
    </xdr:to>
    <xdr:sp macro="" textlink="">
      <xdr:nvSpPr>
        <xdr:cNvPr id="8" name="Tijdelijke aanduiding voor inhoud 1">
          <a:extLst>
            <a:ext uri="{FF2B5EF4-FFF2-40B4-BE49-F238E27FC236}">
              <a16:creationId xmlns:a16="http://schemas.microsoft.com/office/drawing/2014/main" id="{1B4271E7-03C1-4F11-A82A-64178B5D9C70}"/>
            </a:ext>
          </a:extLst>
        </xdr:cNvPr>
        <xdr:cNvSpPr>
          <a:spLocks noGrp="1"/>
        </xdr:cNvSpPr>
      </xdr:nvSpPr>
      <xdr:spPr>
        <a:xfrm>
          <a:off x="3642360" y="293370"/>
          <a:ext cx="3752850" cy="364328"/>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800" b="1">
              <a:solidFill>
                <a:schemeClr val="bg1"/>
              </a:solidFill>
            </a:rPr>
            <a:t>Simapro</a:t>
          </a:r>
          <a:r>
            <a:rPr lang="nl-NL" sz="1800" b="1" baseline="0">
              <a:solidFill>
                <a:schemeClr val="bg1"/>
              </a:solidFill>
            </a:rPr>
            <a:t> 9.6.0.1</a:t>
          </a:r>
        </a:p>
        <a:p>
          <a:pPr marL="0" indent="0" algn="ctr">
            <a:buNone/>
          </a:pPr>
          <a:r>
            <a:rPr lang="nl-NL" sz="1800" b="1" baseline="0">
              <a:solidFill>
                <a:schemeClr val="bg1"/>
              </a:solidFill>
            </a:rPr>
            <a:t>Ecoinvent 3.10</a:t>
          </a:r>
        </a:p>
        <a:p>
          <a:pPr marL="0" indent="0" algn="ctr">
            <a:buNone/>
          </a:pPr>
          <a:r>
            <a:rPr lang="nl-NL" sz="1800" b="1" baseline="0">
              <a:solidFill>
                <a:schemeClr val="bg1"/>
              </a:solidFill>
            </a:rPr>
            <a:t>Method: IPCC 2021 GWP100</a:t>
          </a:r>
        </a:p>
        <a:p>
          <a:pPr marL="0" indent="0" algn="ctr">
            <a:buNone/>
          </a:pPr>
          <a:r>
            <a:rPr lang="nl-NL" sz="1400" b="1" baseline="0">
              <a:solidFill>
                <a:schemeClr val="bg1"/>
              </a:solidFill>
            </a:rPr>
            <a:t>Damage assessment</a:t>
          </a:r>
        </a:p>
        <a:p>
          <a:pPr marL="0" indent="0" algn="ctr">
            <a:buNone/>
          </a:pPr>
          <a:endParaRPr lang="nl-NL" sz="1400" b="1" baseline="0">
            <a:solidFill>
              <a:schemeClr val="bg1"/>
            </a:solidFill>
          </a:endParaRPr>
        </a:p>
        <a:p>
          <a:pPr marL="0" indent="0">
            <a:buNone/>
          </a:pPr>
          <a:endParaRPr lang="nl-NL" sz="1800">
            <a:solidFill>
              <a:schemeClr val="bg1"/>
            </a:solidFill>
          </a:endParaRPr>
        </a:p>
      </xdr:txBody>
    </xdr:sp>
    <xdr:clientData/>
  </xdr:twoCellAnchor>
  <xdr:twoCellAnchor>
    <xdr:from>
      <xdr:col>3</xdr:col>
      <xdr:colOff>861060</xdr:colOff>
      <xdr:row>12</xdr:row>
      <xdr:rowOff>34290</xdr:rowOff>
    </xdr:from>
    <xdr:to>
      <xdr:col>8</xdr:col>
      <xdr:colOff>579120</xdr:colOff>
      <xdr:row>14</xdr:row>
      <xdr:rowOff>123826</xdr:rowOff>
    </xdr:to>
    <xdr:sp macro="" textlink="">
      <xdr:nvSpPr>
        <xdr:cNvPr id="9" name="Rechthoek: afgeronde hoeken 92">
          <a:extLst>
            <a:ext uri="{FF2B5EF4-FFF2-40B4-BE49-F238E27FC236}">
              <a16:creationId xmlns:a16="http://schemas.microsoft.com/office/drawing/2014/main" id="{8554F6F8-10B5-464D-BC45-1638F56CE611}"/>
            </a:ext>
          </a:extLst>
        </xdr:cNvPr>
        <xdr:cNvSpPr/>
      </xdr:nvSpPr>
      <xdr:spPr>
        <a:xfrm>
          <a:off x="4299585" y="1977390"/>
          <a:ext cx="3699510" cy="413386"/>
        </a:xfrm>
        <a:prstGeom prst="roundRect">
          <a:avLst/>
        </a:prstGeom>
        <a:solidFill>
          <a:schemeClr val="accent4"/>
        </a:solidFill>
        <a:ln w="57150" cap="flat" cmpd="sng" algn="ctr">
          <a:solidFill>
            <a:schemeClr val="accent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3</xdr:col>
      <xdr:colOff>840105</xdr:colOff>
      <xdr:row>12</xdr:row>
      <xdr:rowOff>15239</xdr:rowOff>
    </xdr:from>
    <xdr:to>
      <xdr:col>8</xdr:col>
      <xdr:colOff>598170</xdr:colOff>
      <xdr:row>15</xdr:row>
      <xdr:rowOff>38100</xdr:rowOff>
    </xdr:to>
    <xdr:sp macro="" textlink="">
      <xdr:nvSpPr>
        <xdr:cNvPr id="11" name="Tijdelijke aanduiding voor inhoud 1">
          <a:extLst>
            <a:ext uri="{FF2B5EF4-FFF2-40B4-BE49-F238E27FC236}">
              <a16:creationId xmlns:a16="http://schemas.microsoft.com/office/drawing/2014/main" id="{7E6AB862-9824-40EA-9FE2-E9E6AD99557B}"/>
            </a:ext>
          </a:extLst>
        </xdr:cNvPr>
        <xdr:cNvSpPr>
          <a:spLocks noGrp="1"/>
        </xdr:cNvSpPr>
      </xdr:nvSpPr>
      <xdr:spPr>
        <a:xfrm>
          <a:off x="4278630" y="1958339"/>
          <a:ext cx="3739515" cy="508636"/>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400" b="0">
              <a:solidFill>
                <a:schemeClr val="bg1"/>
              </a:solidFill>
            </a:rPr>
            <a:t>Algemene opmerking bij dataset keuze: GLO, tenzij</a:t>
          </a:r>
          <a:r>
            <a:rPr lang="nl-NL" sz="1400" b="0" baseline="0">
              <a:solidFill>
                <a:schemeClr val="bg1"/>
              </a:solidFill>
            </a:rPr>
            <a:t> RER aanneemelijk is.</a:t>
          </a:r>
          <a:endParaRPr lang="nl-NL" sz="1100" b="0" baseline="0">
            <a:solidFill>
              <a:schemeClr val="bg1"/>
            </a:solidFill>
          </a:endParaRPr>
        </a:p>
        <a:p>
          <a:pPr marL="0" indent="0" algn="ctr">
            <a:buNone/>
          </a:pPr>
          <a:endParaRPr lang="nl-NL" sz="1400" b="1" baseline="0">
            <a:solidFill>
              <a:schemeClr val="bg1"/>
            </a:solidFill>
          </a:endParaRPr>
        </a:p>
        <a:p>
          <a:pPr marL="0" indent="0">
            <a:buNone/>
          </a:pPr>
          <a:endParaRPr lang="nl-NL" sz="1800">
            <a:solidFill>
              <a:schemeClr val="bg1"/>
            </a:solidFill>
          </a:endParaRPr>
        </a:p>
      </xdr:txBody>
    </xdr:sp>
    <xdr:clientData/>
  </xdr:twoCellAnchor>
  <xdr:twoCellAnchor>
    <xdr:from>
      <xdr:col>0</xdr:col>
      <xdr:colOff>247650</xdr:colOff>
      <xdr:row>12</xdr:row>
      <xdr:rowOff>38100</xdr:rowOff>
    </xdr:from>
    <xdr:to>
      <xdr:col>3</xdr:col>
      <xdr:colOff>508635</xdr:colOff>
      <xdr:row>14</xdr:row>
      <xdr:rowOff>123825</xdr:rowOff>
    </xdr:to>
    <xdr:sp macro="" textlink="">
      <xdr:nvSpPr>
        <xdr:cNvPr id="10" name="Rechthoek: afgeronde hoeken 92">
          <a:extLst>
            <a:ext uri="{FF2B5EF4-FFF2-40B4-BE49-F238E27FC236}">
              <a16:creationId xmlns:a16="http://schemas.microsoft.com/office/drawing/2014/main" id="{2D85C8D6-C32C-46B7-9267-4CBDA9CBA4D5}"/>
            </a:ext>
          </a:extLst>
        </xdr:cNvPr>
        <xdr:cNvSpPr/>
      </xdr:nvSpPr>
      <xdr:spPr>
        <a:xfrm>
          <a:off x="247650" y="1981200"/>
          <a:ext cx="3699510" cy="409575"/>
        </a:xfrm>
        <a:prstGeom prst="roundRect">
          <a:avLst/>
        </a:prstGeom>
        <a:solidFill>
          <a:schemeClr val="accent4"/>
        </a:solidFill>
        <a:ln w="57150" cap="flat" cmpd="sng" algn="ctr">
          <a:solidFill>
            <a:schemeClr val="accent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342900</xdr:colOff>
      <xdr:row>12</xdr:row>
      <xdr:rowOff>74295</xdr:rowOff>
    </xdr:from>
    <xdr:to>
      <xdr:col>4</xdr:col>
      <xdr:colOff>523875</xdr:colOff>
      <xdr:row>14</xdr:row>
      <xdr:rowOff>139065</xdr:rowOff>
    </xdr:to>
    <xdr:sp macro="" textlink="">
      <xdr:nvSpPr>
        <xdr:cNvPr id="2" name="Tijdelijke aanduiding voor inhoud 1">
          <a:extLst>
            <a:ext uri="{FF2B5EF4-FFF2-40B4-BE49-F238E27FC236}">
              <a16:creationId xmlns:a16="http://schemas.microsoft.com/office/drawing/2014/main" id="{3FC75138-609D-4428-94FD-28DE95BFA142}"/>
            </a:ext>
          </a:extLst>
        </xdr:cNvPr>
        <xdr:cNvSpPr>
          <a:spLocks noGrp="1"/>
        </xdr:cNvSpPr>
      </xdr:nvSpPr>
      <xdr:spPr>
        <a:xfrm>
          <a:off x="342900" y="2017395"/>
          <a:ext cx="4552950" cy="388620"/>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800" b="1" i="0" u="none" strike="noStrike" kern="1200" cap="none" spc="0" normalizeH="0" baseline="0" noProof="0">
              <a:ln>
                <a:noFill/>
              </a:ln>
              <a:solidFill>
                <a:srgbClr val="181A35"/>
              </a:solidFill>
              <a:effectLst/>
              <a:uLnTx/>
              <a:uFillTx/>
              <a:latin typeface="Calibri" panose="020F0502020204030204"/>
              <a:ea typeface="+mn-ea"/>
              <a:cs typeface="+mn-cs"/>
            </a:rPr>
            <a:t>Impact materialen + productie</a:t>
          </a:r>
          <a:endParaRPr kumimoji="0" lang="en-US" sz="2000" b="0" i="0" u="none" strike="noStrike" kern="1200" cap="none" spc="0" normalizeH="0" baseline="0" noProof="0">
            <a:ln>
              <a:noFill/>
            </a:ln>
            <a:solidFill>
              <a:srgbClr val="181A35"/>
            </a:solidFill>
            <a:effectLst/>
            <a:uLnTx/>
            <a:uFillTx/>
            <a:latin typeface="Calibri" panose="020F0502020204030204"/>
            <a:ea typeface="+mn-ea"/>
            <a:cs typeface="+mn-cs"/>
          </a:endParaRPr>
        </a:p>
      </xdr:txBody>
    </xdr:sp>
    <xdr:clientData/>
  </xdr:twoCellAnchor>
  <xdr:twoCellAnchor>
    <xdr:from>
      <xdr:col>3</xdr:col>
      <xdr:colOff>752475</xdr:colOff>
      <xdr:row>72</xdr:row>
      <xdr:rowOff>104775</xdr:rowOff>
    </xdr:from>
    <xdr:to>
      <xdr:col>8</xdr:col>
      <xdr:colOff>470535</xdr:colOff>
      <xdr:row>75</xdr:row>
      <xdr:rowOff>28575</xdr:rowOff>
    </xdr:to>
    <xdr:sp macro="" textlink="">
      <xdr:nvSpPr>
        <xdr:cNvPr id="18" name="Rechthoek: afgeronde hoeken 92">
          <a:extLst>
            <a:ext uri="{FF2B5EF4-FFF2-40B4-BE49-F238E27FC236}">
              <a16:creationId xmlns:a16="http://schemas.microsoft.com/office/drawing/2014/main" id="{2DA242F2-7E54-44AB-A376-416D0C7382E8}"/>
            </a:ext>
          </a:extLst>
        </xdr:cNvPr>
        <xdr:cNvSpPr/>
      </xdr:nvSpPr>
      <xdr:spPr>
        <a:xfrm>
          <a:off x="4191000" y="9982200"/>
          <a:ext cx="3699510" cy="409575"/>
        </a:xfrm>
        <a:prstGeom prst="roundRect">
          <a:avLst/>
        </a:prstGeom>
        <a:solidFill>
          <a:schemeClr val="accent4"/>
        </a:solidFill>
        <a:ln w="57150" cap="flat" cmpd="sng" algn="ctr">
          <a:solidFill>
            <a:schemeClr val="accent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3</xdr:col>
      <xdr:colOff>628649</xdr:colOff>
      <xdr:row>81</xdr:row>
      <xdr:rowOff>57150</xdr:rowOff>
    </xdr:from>
    <xdr:to>
      <xdr:col>13</xdr:col>
      <xdr:colOff>257174</xdr:colOff>
      <xdr:row>83</xdr:row>
      <xdr:rowOff>142875</xdr:rowOff>
    </xdr:to>
    <xdr:sp macro="" textlink="">
      <xdr:nvSpPr>
        <xdr:cNvPr id="19" name="Rechthoek: afgeronde hoeken 92">
          <a:extLst>
            <a:ext uri="{FF2B5EF4-FFF2-40B4-BE49-F238E27FC236}">
              <a16:creationId xmlns:a16="http://schemas.microsoft.com/office/drawing/2014/main" id="{66C6C100-2536-4DD4-AA7C-C64C2FDCF342}"/>
            </a:ext>
          </a:extLst>
        </xdr:cNvPr>
        <xdr:cNvSpPr/>
      </xdr:nvSpPr>
      <xdr:spPr>
        <a:xfrm>
          <a:off x="4067174" y="11715750"/>
          <a:ext cx="6657975" cy="409575"/>
        </a:xfrm>
        <a:prstGeom prst="roundRect">
          <a:avLst/>
        </a:prstGeom>
        <a:solidFill>
          <a:schemeClr val="accent4"/>
        </a:solidFill>
        <a:ln w="57150" cap="flat" cmpd="sng" algn="ctr">
          <a:solidFill>
            <a:schemeClr val="accent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3</xdr:col>
      <xdr:colOff>752475</xdr:colOff>
      <xdr:row>72</xdr:row>
      <xdr:rowOff>142875</xdr:rowOff>
    </xdr:from>
    <xdr:to>
      <xdr:col>8</xdr:col>
      <xdr:colOff>510540</xdr:colOff>
      <xdr:row>76</xdr:row>
      <xdr:rowOff>3811</xdr:rowOff>
    </xdr:to>
    <xdr:sp macro="" textlink="">
      <xdr:nvSpPr>
        <xdr:cNvPr id="20" name="Tijdelijke aanduiding voor inhoud 1">
          <a:extLst>
            <a:ext uri="{FF2B5EF4-FFF2-40B4-BE49-F238E27FC236}">
              <a16:creationId xmlns:a16="http://schemas.microsoft.com/office/drawing/2014/main" id="{76120AD2-13A3-45B0-8496-F7539FDA3326}"/>
            </a:ext>
          </a:extLst>
        </xdr:cNvPr>
        <xdr:cNvSpPr>
          <a:spLocks noGrp="1"/>
        </xdr:cNvSpPr>
      </xdr:nvSpPr>
      <xdr:spPr>
        <a:xfrm>
          <a:off x="4191000" y="10020300"/>
          <a:ext cx="3739515" cy="508636"/>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400" b="0">
              <a:solidFill>
                <a:schemeClr val="bg1"/>
              </a:solidFill>
            </a:rPr>
            <a:t>Transport vindt plaats in Europa (RER)</a:t>
          </a:r>
          <a:r>
            <a:rPr lang="nl-NL" sz="1400" b="0" baseline="0">
              <a:solidFill>
                <a:schemeClr val="bg1"/>
              </a:solidFill>
            </a:rPr>
            <a:t>.</a:t>
          </a:r>
          <a:endParaRPr lang="nl-NL" sz="1100" b="0" baseline="0">
            <a:solidFill>
              <a:schemeClr val="bg1"/>
            </a:solidFill>
          </a:endParaRPr>
        </a:p>
        <a:p>
          <a:pPr marL="0" indent="0" algn="ctr">
            <a:buNone/>
          </a:pPr>
          <a:endParaRPr lang="nl-NL" sz="1400" b="1" baseline="0">
            <a:solidFill>
              <a:schemeClr val="bg1"/>
            </a:solidFill>
          </a:endParaRPr>
        </a:p>
        <a:p>
          <a:pPr marL="0" indent="0">
            <a:buNone/>
          </a:pPr>
          <a:endParaRPr lang="nl-NL" sz="1800">
            <a:solidFill>
              <a:schemeClr val="bg1"/>
            </a:solidFill>
          </a:endParaRPr>
        </a:p>
      </xdr:txBody>
    </xdr:sp>
    <xdr:clientData/>
  </xdr:twoCellAnchor>
  <xdr:twoCellAnchor>
    <xdr:from>
      <xdr:col>3</xdr:col>
      <xdr:colOff>923925</xdr:colOff>
      <xdr:row>81</xdr:row>
      <xdr:rowOff>38100</xdr:rowOff>
    </xdr:from>
    <xdr:to>
      <xdr:col>12</xdr:col>
      <xdr:colOff>542925</xdr:colOff>
      <xdr:row>84</xdr:row>
      <xdr:rowOff>32386</xdr:rowOff>
    </xdr:to>
    <xdr:sp macro="" textlink="">
      <xdr:nvSpPr>
        <xdr:cNvPr id="21" name="Tijdelijke aanduiding voor inhoud 1">
          <a:extLst>
            <a:ext uri="{FF2B5EF4-FFF2-40B4-BE49-F238E27FC236}">
              <a16:creationId xmlns:a16="http://schemas.microsoft.com/office/drawing/2014/main" id="{691069DA-FA8F-4767-8F80-0F684BC1398E}"/>
            </a:ext>
          </a:extLst>
        </xdr:cNvPr>
        <xdr:cNvSpPr>
          <a:spLocks noGrp="1"/>
        </xdr:cNvSpPr>
      </xdr:nvSpPr>
      <xdr:spPr>
        <a:xfrm>
          <a:off x="4362450" y="11696700"/>
          <a:ext cx="6038850" cy="508636"/>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nl-NL" sz="1400" b="0" baseline="0">
              <a:solidFill>
                <a:schemeClr val="bg1"/>
              </a:solidFill>
            </a:rPr>
            <a:t>Verbranding vindt voornamelijk plaats in Nederland, daarom bij voorkeur Europe without Switserland, ander CH.</a:t>
          </a:r>
        </a:p>
        <a:p>
          <a:pPr marL="0" indent="0">
            <a:buNone/>
          </a:pPr>
          <a:endParaRPr lang="nl-NL" sz="1800">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10080</xdr:colOff>
      <xdr:row>15</xdr:row>
      <xdr:rowOff>73168</xdr:rowOff>
    </xdr:from>
    <xdr:to>
      <xdr:col>18</xdr:col>
      <xdr:colOff>589285</xdr:colOff>
      <xdr:row>26</xdr:row>
      <xdr:rowOff>36924</xdr:rowOff>
    </xdr:to>
    <xdr:pic>
      <xdr:nvPicPr>
        <xdr:cNvPr id="2" name="Afbeelding 1">
          <a:extLst>
            <a:ext uri="{FF2B5EF4-FFF2-40B4-BE49-F238E27FC236}">
              <a16:creationId xmlns:a16="http://schemas.microsoft.com/office/drawing/2014/main" id="{001E83E8-AC95-417C-B7EB-2F1068987297}"/>
            </a:ext>
          </a:extLst>
        </xdr:cNvPr>
        <xdr:cNvPicPr>
          <a:picLocks noChangeAspect="1"/>
        </xdr:cNvPicPr>
      </xdr:nvPicPr>
      <xdr:blipFill>
        <a:blip xmlns:r="http://schemas.openxmlformats.org/officeDocument/2006/relationships" r:embed="rId1"/>
        <a:stretch>
          <a:fillRect/>
        </a:stretch>
      </xdr:blipFill>
      <xdr:spPr>
        <a:xfrm>
          <a:off x="9134597" y="1988992"/>
          <a:ext cx="5246801" cy="3049855"/>
        </a:xfrm>
        <a:prstGeom prst="rect">
          <a:avLst/>
        </a:prstGeom>
      </xdr:spPr>
    </xdr:pic>
    <xdr:clientData/>
  </xdr:twoCellAnchor>
  <xdr:twoCellAnchor editAs="oneCell">
    <xdr:from>
      <xdr:col>19</xdr:col>
      <xdr:colOff>177001</xdr:colOff>
      <xdr:row>15</xdr:row>
      <xdr:rowOff>93518</xdr:rowOff>
    </xdr:from>
    <xdr:to>
      <xdr:col>26</xdr:col>
      <xdr:colOff>282032</xdr:colOff>
      <xdr:row>25</xdr:row>
      <xdr:rowOff>287259</xdr:rowOff>
    </xdr:to>
    <xdr:pic>
      <xdr:nvPicPr>
        <xdr:cNvPr id="3" name="Afbeelding 2">
          <a:extLst>
            <a:ext uri="{FF2B5EF4-FFF2-40B4-BE49-F238E27FC236}">
              <a16:creationId xmlns:a16="http://schemas.microsoft.com/office/drawing/2014/main" id="{E076790B-5DFC-46B7-BC3F-26CD8810505D}"/>
            </a:ext>
          </a:extLst>
        </xdr:cNvPr>
        <xdr:cNvPicPr>
          <a:picLocks noChangeAspect="1"/>
        </xdr:cNvPicPr>
      </xdr:nvPicPr>
      <xdr:blipFill>
        <a:blip xmlns:r="http://schemas.openxmlformats.org/officeDocument/2006/relationships" r:embed="rId2"/>
        <a:stretch>
          <a:fillRect/>
        </a:stretch>
      </xdr:blipFill>
      <xdr:spPr>
        <a:xfrm>
          <a:off x="14583564" y="2009342"/>
          <a:ext cx="4495709" cy="2695351"/>
        </a:xfrm>
        <a:prstGeom prst="rect">
          <a:avLst/>
        </a:prstGeom>
      </xdr:spPr>
    </xdr:pic>
    <xdr:clientData/>
  </xdr:twoCellAnchor>
  <xdr:twoCellAnchor editAs="oneCell">
    <xdr:from>
      <xdr:col>12</xdr:col>
      <xdr:colOff>32472</xdr:colOff>
      <xdr:row>52</xdr:row>
      <xdr:rowOff>149369</xdr:rowOff>
    </xdr:from>
    <xdr:to>
      <xdr:col>20</xdr:col>
      <xdr:colOff>362667</xdr:colOff>
      <xdr:row>63</xdr:row>
      <xdr:rowOff>97496</xdr:rowOff>
    </xdr:to>
    <xdr:pic>
      <xdr:nvPicPr>
        <xdr:cNvPr id="4" name="Afbeelding 3">
          <a:extLst>
            <a:ext uri="{FF2B5EF4-FFF2-40B4-BE49-F238E27FC236}">
              <a16:creationId xmlns:a16="http://schemas.microsoft.com/office/drawing/2014/main" id="{FB7BADBA-668F-4395-BFF0-F1FF9DEC511A}"/>
            </a:ext>
          </a:extLst>
        </xdr:cNvPr>
        <xdr:cNvPicPr>
          <a:picLocks noChangeAspect="1"/>
        </xdr:cNvPicPr>
      </xdr:nvPicPr>
      <xdr:blipFill>
        <a:blip xmlns:r="http://schemas.openxmlformats.org/officeDocument/2006/relationships" r:embed="rId3"/>
        <a:stretch>
          <a:fillRect/>
        </a:stretch>
      </xdr:blipFill>
      <xdr:spPr>
        <a:xfrm>
          <a:off x="9156989" y="10237210"/>
          <a:ext cx="6230500" cy="1665916"/>
        </a:xfrm>
        <a:prstGeom prst="rect">
          <a:avLst/>
        </a:prstGeom>
      </xdr:spPr>
    </xdr:pic>
    <xdr:clientData/>
  </xdr:twoCellAnchor>
  <xdr:twoCellAnchor editAs="oneCell">
    <xdr:from>
      <xdr:col>28</xdr:col>
      <xdr:colOff>189419</xdr:colOff>
      <xdr:row>62</xdr:row>
      <xdr:rowOff>67695</xdr:rowOff>
    </xdr:from>
    <xdr:to>
      <xdr:col>33</xdr:col>
      <xdr:colOff>549418</xdr:colOff>
      <xdr:row>74</xdr:row>
      <xdr:rowOff>135738</xdr:rowOff>
    </xdr:to>
    <xdr:pic>
      <xdr:nvPicPr>
        <xdr:cNvPr id="5" name="Afbeelding 4">
          <a:extLst>
            <a:ext uri="{FF2B5EF4-FFF2-40B4-BE49-F238E27FC236}">
              <a16:creationId xmlns:a16="http://schemas.microsoft.com/office/drawing/2014/main" id="{7356E3EA-B89F-49BC-856F-BC9DE4F16819}"/>
            </a:ext>
          </a:extLst>
        </xdr:cNvPr>
        <xdr:cNvPicPr>
          <a:picLocks noChangeAspect="1"/>
        </xdr:cNvPicPr>
      </xdr:nvPicPr>
      <xdr:blipFill>
        <a:blip xmlns:r="http://schemas.openxmlformats.org/officeDocument/2006/relationships" r:embed="rId4"/>
        <a:stretch>
          <a:fillRect/>
        </a:stretch>
      </xdr:blipFill>
      <xdr:spPr>
        <a:xfrm>
          <a:off x="19823908" y="11703348"/>
          <a:ext cx="5258793" cy="1969146"/>
        </a:xfrm>
        <a:prstGeom prst="rect">
          <a:avLst/>
        </a:prstGeom>
      </xdr:spPr>
    </xdr:pic>
    <xdr:clientData/>
  </xdr:twoCellAnchor>
  <xdr:twoCellAnchor editAs="oneCell">
    <xdr:from>
      <xdr:col>29</xdr:col>
      <xdr:colOff>4848</xdr:colOff>
      <xdr:row>16</xdr:row>
      <xdr:rowOff>13854</xdr:rowOff>
    </xdr:from>
    <xdr:to>
      <xdr:col>38</xdr:col>
      <xdr:colOff>73273</xdr:colOff>
      <xdr:row>31</xdr:row>
      <xdr:rowOff>473222</xdr:rowOff>
    </xdr:to>
    <xdr:pic>
      <xdr:nvPicPr>
        <xdr:cNvPr id="6" name="Afbeelding 5">
          <a:extLst>
            <a:ext uri="{FF2B5EF4-FFF2-40B4-BE49-F238E27FC236}">
              <a16:creationId xmlns:a16="http://schemas.microsoft.com/office/drawing/2014/main" id="{F64F5253-97A0-4434-B9A4-6FF645296F32}"/>
            </a:ext>
          </a:extLst>
        </xdr:cNvPr>
        <xdr:cNvPicPr>
          <a:picLocks noChangeAspect="1"/>
        </xdr:cNvPicPr>
      </xdr:nvPicPr>
      <xdr:blipFill>
        <a:blip xmlns:r="http://schemas.openxmlformats.org/officeDocument/2006/relationships" r:embed="rId5"/>
        <a:stretch>
          <a:fillRect/>
        </a:stretch>
      </xdr:blipFill>
      <xdr:spPr>
        <a:xfrm>
          <a:off x="19844990" y="2081212"/>
          <a:ext cx="8922346" cy="4248933"/>
        </a:xfrm>
        <a:prstGeom prst="rect">
          <a:avLst/>
        </a:prstGeom>
      </xdr:spPr>
    </xdr:pic>
    <xdr:clientData/>
  </xdr:twoCellAnchor>
  <xdr:twoCellAnchor editAs="oneCell">
    <xdr:from>
      <xdr:col>42</xdr:col>
      <xdr:colOff>101311</xdr:colOff>
      <xdr:row>16</xdr:row>
      <xdr:rowOff>171883</xdr:rowOff>
    </xdr:from>
    <xdr:to>
      <xdr:col>51</xdr:col>
      <xdr:colOff>421838</xdr:colOff>
      <xdr:row>31</xdr:row>
      <xdr:rowOff>667398</xdr:rowOff>
    </xdr:to>
    <xdr:pic>
      <xdr:nvPicPr>
        <xdr:cNvPr id="7" name="Afbeelding 6">
          <a:extLst>
            <a:ext uri="{FF2B5EF4-FFF2-40B4-BE49-F238E27FC236}">
              <a16:creationId xmlns:a16="http://schemas.microsoft.com/office/drawing/2014/main" id="{3421DF86-797F-4867-A3AE-ADF6A545E00D}"/>
            </a:ext>
          </a:extLst>
        </xdr:cNvPr>
        <xdr:cNvPicPr>
          <a:picLocks noChangeAspect="1"/>
        </xdr:cNvPicPr>
      </xdr:nvPicPr>
      <xdr:blipFill>
        <a:blip xmlns:r="http://schemas.openxmlformats.org/officeDocument/2006/relationships" r:embed="rId6"/>
        <a:stretch>
          <a:fillRect/>
        </a:stretch>
      </xdr:blipFill>
      <xdr:spPr>
        <a:xfrm>
          <a:off x="30548839" y="2239241"/>
          <a:ext cx="6977203" cy="4266030"/>
        </a:xfrm>
        <a:prstGeom prst="rect">
          <a:avLst/>
        </a:prstGeom>
      </xdr:spPr>
    </xdr:pic>
    <xdr:clientData/>
  </xdr:twoCellAnchor>
  <xdr:twoCellAnchor editAs="oneCell">
    <xdr:from>
      <xdr:col>53</xdr:col>
      <xdr:colOff>176991</xdr:colOff>
      <xdr:row>20</xdr:row>
      <xdr:rowOff>162000</xdr:rowOff>
    </xdr:from>
    <xdr:to>
      <xdr:col>58</xdr:col>
      <xdr:colOff>419448</xdr:colOff>
      <xdr:row>41</xdr:row>
      <xdr:rowOff>267032</xdr:rowOff>
    </xdr:to>
    <xdr:pic>
      <xdr:nvPicPr>
        <xdr:cNvPr id="8" name="Afbeelding 7">
          <a:extLst>
            <a:ext uri="{FF2B5EF4-FFF2-40B4-BE49-F238E27FC236}">
              <a16:creationId xmlns:a16="http://schemas.microsoft.com/office/drawing/2014/main" id="{C40B60B9-FA86-438B-A122-10C3E9667F9C}"/>
            </a:ext>
          </a:extLst>
        </xdr:cNvPr>
        <xdr:cNvPicPr>
          <a:picLocks noChangeAspect="1"/>
        </xdr:cNvPicPr>
      </xdr:nvPicPr>
      <xdr:blipFill>
        <a:blip xmlns:r="http://schemas.openxmlformats.org/officeDocument/2006/relationships" r:embed="rId7"/>
        <a:stretch>
          <a:fillRect/>
        </a:stretch>
      </xdr:blipFill>
      <xdr:spPr>
        <a:xfrm>
          <a:off x="38201224" y="3484926"/>
          <a:ext cx="3381378" cy="5185840"/>
        </a:xfrm>
        <a:prstGeom prst="rect">
          <a:avLst/>
        </a:prstGeom>
        <a:solidFill>
          <a:schemeClr val="bg1"/>
        </a:solidFill>
      </xdr:spPr>
    </xdr:pic>
    <xdr:clientData/>
  </xdr:twoCellAnchor>
  <xdr:twoCellAnchor editAs="oneCell">
    <xdr:from>
      <xdr:col>67</xdr:col>
      <xdr:colOff>80820</xdr:colOff>
      <xdr:row>20</xdr:row>
      <xdr:rowOff>95547</xdr:rowOff>
    </xdr:from>
    <xdr:to>
      <xdr:col>75</xdr:col>
      <xdr:colOff>513726</xdr:colOff>
      <xdr:row>31</xdr:row>
      <xdr:rowOff>207675</xdr:rowOff>
    </xdr:to>
    <xdr:pic>
      <xdr:nvPicPr>
        <xdr:cNvPr id="9" name="Afbeelding 8">
          <a:extLst>
            <a:ext uri="{FF2B5EF4-FFF2-40B4-BE49-F238E27FC236}">
              <a16:creationId xmlns:a16="http://schemas.microsoft.com/office/drawing/2014/main" id="{FD4F6D0E-BD11-49FA-BEEE-E968E88F1B3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954769" y="3418473"/>
          <a:ext cx="5736599" cy="2677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56798</xdr:colOff>
      <xdr:row>19</xdr:row>
      <xdr:rowOff>160868</xdr:rowOff>
    </xdr:from>
    <xdr:to>
      <xdr:col>91</xdr:col>
      <xdr:colOff>206205</xdr:colOff>
      <xdr:row>35</xdr:row>
      <xdr:rowOff>132762</xdr:rowOff>
    </xdr:to>
    <xdr:pic>
      <xdr:nvPicPr>
        <xdr:cNvPr id="10" name="Afbeelding 9">
          <a:extLst>
            <a:ext uri="{FF2B5EF4-FFF2-40B4-BE49-F238E27FC236}">
              <a16:creationId xmlns:a16="http://schemas.microsoft.com/office/drawing/2014/main" id="{7D67A911-0C28-4190-8BFF-283E6F91B7A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26173" y="3191550"/>
          <a:ext cx="5791844" cy="4358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165609</xdr:colOff>
      <xdr:row>19</xdr:row>
      <xdr:rowOff>173355</xdr:rowOff>
    </xdr:from>
    <xdr:to>
      <xdr:col>104</xdr:col>
      <xdr:colOff>553280</xdr:colOff>
      <xdr:row>25</xdr:row>
      <xdr:rowOff>325673</xdr:rowOff>
    </xdr:to>
    <xdr:pic>
      <xdr:nvPicPr>
        <xdr:cNvPr id="11" name="Afbeelding 10">
          <a:extLst>
            <a:ext uri="{FF2B5EF4-FFF2-40B4-BE49-F238E27FC236}">
              <a16:creationId xmlns:a16="http://schemas.microsoft.com/office/drawing/2014/main" id="{EAA02340-6408-4366-B46F-C4B09EF6B2B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845439" y="3225685"/>
          <a:ext cx="5377472" cy="1599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113</xdr:col>
      <xdr:colOff>326207</xdr:colOff>
      <xdr:row>19</xdr:row>
      <xdr:rowOff>271314</xdr:rowOff>
    </xdr:from>
    <xdr:to>
      <xdr:col>119</xdr:col>
      <xdr:colOff>52</xdr:colOff>
      <xdr:row>41</xdr:row>
      <xdr:rowOff>116504</xdr:rowOff>
    </xdr:to>
    <xdr:pic>
      <xdr:nvPicPr>
        <xdr:cNvPr id="12" name="Afbeelding 11">
          <a:extLst>
            <a:ext uri="{FF2B5EF4-FFF2-40B4-BE49-F238E27FC236}">
              <a16:creationId xmlns:a16="http://schemas.microsoft.com/office/drawing/2014/main" id="{4BB0EC06-59F8-42C3-9F6E-D35D2387A2B3}"/>
            </a:ext>
          </a:extLst>
        </xdr:cNvPr>
        <xdr:cNvPicPr>
          <a:picLocks noChangeAspect="1"/>
        </xdr:cNvPicPr>
      </xdr:nvPicPr>
      <xdr:blipFill>
        <a:blip xmlns:r="http://schemas.openxmlformats.org/officeDocument/2006/relationships" r:embed="rId7"/>
        <a:stretch>
          <a:fillRect/>
        </a:stretch>
      </xdr:blipFill>
      <xdr:spPr>
        <a:xfrm>
          <a:off x="83258650" y="3323644"/>
          <a:ext cx="3440549" cy="5188369"/>
        </a:xfrm>
        <a:prstGeom prst="rect">
          <a:avLst/>
        </a:prstGeom>
        <a:solidFill>
          <a:schemeClr val="bg1"/>
        </a:solidFill>
      </xdr:spPr>
    </xdr:pic>
    <xdr:clientData/>
  </xdr:twoCellAnchor>
  <xdr:twoCellAnchor editAs="oneCell">
    <xdr:from>
      <xdr:col>29</xdr:col>
      <xdr:colOff>12426</xdr:colOff>
      <xdr:row>43</xdr:row>
      <xdr:rowOff>74691</xdr:rowOff>
    </xdr:from>
    <xdr:to>
      <xdr:col>38</xdr:col>
      <xdr:colOff>130137</xdr:colOff>
      <xdr:row>54</xdr:row>
      <xdr:rowOff>152097</xdr:rowOff>
    </xdr:to>
    <xdr:pic>
      <xdr:nvPicPr>
        <xdr:cNvPr id="13" name="Afbeelding 12">
          <a:extLst>
            <a:ext uri="{FF2B5EF4-FFF2-40B4-BE49-F238E27FC236}">
              <a16:creationId xmlns:a16="http://schemas.microsoft.com/office/drawing/2014/main" id="{CDA55360-6C85-42E8-9CF8-DD913296BC2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852568" y="8831197"/>
          <a:ext cx="8956392" cy="1746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247147</xdr:colOff>
      <xdr:row>42</xdr:row>
      <xdr:rowOff>15648</xdr:rowOff>
    </xdr:from>
    <xdr:to>
      <xdr:col>9</xdr:col>
      <xdr:colOff>378834</xdr:colOff>
      <xdr:row>68</xdr:row>
      <xdr:rowOff>34636</xdr:rowOff>
    </xdr:to>
    <xdr:sp macro="" textlink="">
      <xdr:nvSpPr>
        <xdr:cNvPr id="14" name="Rechthoek: afgeronde hoeken 92">
          <a:extLst>
            <a:ext uri="{FF2B5EF4-FFF2-40B4-BE49-F238E27FC236}">
              <a16:creationId xmlns:a16="http://schemas.microsoft.com/office/drawing/2014/main" id="{35354B66-0DF6-4152-9601-2BE1D3AA6DFB}"/>
            </a:ext>
          </a:extLst>
        </xdr:cNvPr>
        <xdr:cNvSpPr/>
      </xdr:nvSpPr>
      <xdr:spPr>
        <a:xfrm>
          <a:off x="247147" y="10311307"/>
          <a:ext cx="7803642" cy="4002170"/>
        </a:xfrm>
        <a:prstGeom prst="roundRect">
          <a:avLst/>
        </a:prstGeom>
        <a:solidFill>
          <a:srgbClr val="B9DF39"/>
        </a:solidFill>
        <a:ln w="57150" cap="flat" cmpd="sng" algn="ctr">
          <a:solidFill>
            <a:srgbClr val="B9DF39"/>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543710</xdr:colOff>
      <xdr:row>44</xdr:row>
      <xdr:rowOff>1244</xdr:rowOff>
    </xdr:from>
    <xdr:to>
      <xdr:col>9</xdr:col>
      <xdr:colOff>227301</xdr:colOff>
      <xdr:row>67</xdr:row>
      <xdr:rowOff>129887</xdr:rowOff>
    </xdr:to>
    <xdr:sp macro="" textlink="">
      <xdr:nvSpPr>
        <xdr:cNvPr id="15" name="Tijdelijke aanduiding voor inhoud 1">
          <a:extLst>
            <a:ext uri="{FF2B5EF4-FFF2-40B4-BE49-F238E27FC236}">
              <a16:creationId xmlns:a16="http://schemas.microsoft.com/office/drawing/2014/main" id="{35881FDD-9881-41C6-88E9-AA05FB7F10DC}"/>
            </a:ext>
          </a:extLst>
        </xdr:cNvPr>
        <xdr:cNvSpPr>
          <a:spLocks noGrp="1"/>
        </xdr:cNvSpPr>
      </xdr:nvSpPr>
      <xdr:spPr>
        <a:xfrm>
          <a:off x="543710" y="10591312"/>
          <a:ext cx="7355546" cy="3670211"/>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1"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Opbouw van deze percentages:</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 Elektrische en elektronische apparaten: Bron: Nationaal WEEE register (2022), Statline CBS (2022) en samenstelling van het huishoudelijk restafval, RWS (2022)</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-Textiel: Bron: Monitor beleidsprogramma circulair textiel (2021), Statline CBS (2021) en samenstelling van het huishoudelijk restafval, RWS (2022)</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-Meubels: Bron: Grootzitmeubilair Tauw (2022). Aanname: De categorie grootzitmeubilair zal ook representatief zijn voor kasten, stoelen en tafels.</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-Materiaalstromen: Bron: Statline CBS (2022). Aanname: Categorieën vlakglas, hout, harde plastics en metalen.</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-Boeken en platen: Bron: Samenstelling van het huishoudelijk restafval, RWS (2022) en Statline CBS (2022). Aanname: Papier, niet verpakking, recyclebaar.</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-Speelgoed: Bron: Samenstelling van het huishoudelijk restafval, RWS (2022) en Statline CBS (2022). Aanname: 50% van het kunststof, niet verpakking. Dit is mogelijk hoog, maar niet al het speelgoed is van plastic dus de aanname is dat dit erlkaar opheft.</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-Kleingoed en curiosa: Bron: Samenstelling van het huishoudelijk restafval, RWS (2022) en Statline CBS (2022). Aanname: Glas, niet verpakking + 50% van het kunststof, niet verpakking.</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-Fietsen: Bron: Statline CBS (2022). Aanname: 10% van het metaal bij de milieustraat zijn fietsen.</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endParaRPr kumimoji="0" lang="nl-NL" sz="120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endParaRP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endParaRPr kumimoji="0" lang="en-US" sz="2000" b="0" i="0" u="none" strike="noStrike" kern="1200" cap="none" spc="0" normalizeH="0" baseline="0" noProof="0">
            <a:ln>
              <a:noFill/>
            </a:ln>
            <a:solidFill>
              <a:srgbClr val="181A35"/>
            </a:solidFill>
            <a:effectLst/>
            <a:uLnTx/>
            <a:uFillTx/>
            <a:latin typeface="Calibri" panose="020F0502020204030204"/>
            <a:ea typeface="+mn-ea"/>
            <a:cs typeface="+mn-cs"/>
          </a:endParaRPr>
        </a:p>
      </xdr:txBody>
    </xdr:sp>
    <xdr:clientData/>
  </xdr:twoCellAnchor>
  <xdr:twoCellAnchor editAs="oneCell">
    <xdr:from>
      <xdr:col>97</xdr:col>
      <xdr:colOff>141576</xdr:colOff>
      <xdr:row>25</xdr:row>
      <xdr:rowOff>430356</xdr:rowOff>
    </xdr:from>
    <xdr:to>
      <xdr:col>104</xdr:col>
      <xdr:colOff>549530</xdr:colOff>
      <xdr:row>44</xdr:row>
      <xdr:rowOff>20694</xdr:rowOff>
    </xdr:to>
    <xdr:pic>
      <xdr:nvPicPr>
        <xdr:cNvPr id="16" name="Afbeelding 15">
          <a:extLst>
            <a:ext uri="{FF2B5EF4-FFF2-40B4-BE49-F238E27FC236}">
              <a16:creationId xmlns:a16="http://schemas.microsoft.com/office/drawing/2014/main" id="{11928042-50DE-4B96-802D-4340167CF0D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0821406" y="4976379"/>
          <a:ext cx="5392040" cy="409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396672</xdr:colOff>
      <xdr:row>11</xdr:row>
      <xdr:rowOff>49011</xdr:rowOff>
    </xdr:from>
    <xdr:to>
      <xdr:col>81</xdr:col>
      <xdr:colOff>357186</xdr:colOff>
      <xdr:row>18</xdr:row>
      <xdr:rowOff>476250</xdr:rowOff>
    </xdr:to>
    <xdr:sp macro="" textlink="">
      <xdr:nvSpPr>
        <xdr:cNvPr id="21" name="Rechthoek: afgeronde hoeken 92">
          <a:extLst>
            <a:ext uri="{FF2B5EF4-FFF2-40B4-BE49-F238E27FC236}">
              <a16:creationId xmlns:a16="http://schemas.microsoft.com/office/drawing/2014/main" id="{8CDB22DB-95EF-42B1-8D58-7FD11FB83798}"/>
            </a:ext>
          </a:extLst>
        </xdr:cNvPr>
        <xdr:cNvSpPr/>
      </xdr:nvSpPr>
      <xdr:spPr>
        <a:xfrm>
          <a:off x="55262837" y="1315403"/>
          <a:ext cx="4950315" cy="1585392"/>
        </a:xfrm>
        <a:prstGeom prst="roundRect">
          <a:avLst>
            <a:gd name="adj" fmla="val 16934"/>
          </a:avLst>
        </a:prstGeom>
        <a:solidFill>
          <a:schemeClr val="accent2">
            <a:lumMod val="20000"/>
            <a:lumOff val="80000"/>
          </a:schemeClr>
        </a:solidFill>
        <a:ln w="57150" cap="flat" cmpd="sng" algn="ctr">
          <a:solidFill>
            <a:schemeClr val="accent2">
              <a:lumMod val="20000"/>
              <a:lumOff val="80000"/>
            </a:scheme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77</xdr:col>
      <xdr:colOff>465427</xdr:colOff>
      <xdr:row>11</xdr:row>
      <xdr:rowOff>112277</xdr:rowOff>
    </xdr:from>
    <xdr:to>
      <xdr:col>81</xdr:col>
      <xdr:colOff>320906</xdr:colOff>
      <xdr:row>18</xdr:row>
      <xdr:rowOff>411307</xdr:rowOff>
    </xdr:to>
    <xdr:sp macro="" textlink="">
      <xdr:nvSpPr>
        <xdr:cNvPr id="22" name="Tijdelijke aanduiding voor inhoud 1">
          <a:extLst>
            <a:ext uri="{FF2B5EF4-FFF2-40B4-BE49-F238E27FC236}">
              <a16:creationId xmlns:a16="http://schemas.microsoft.com/office/drawing/2014/main" id="{F60CAA4A-001B-4393-915F-21EB9D518252}"/>
            </a:ext>
          </a:extLst>
        </xdr:cNvPr>
        <xdr:cNvSpPr>
          <a:spLocks noGrp="1"/>
        </xdr:cNvSpPr>
      </xdr:nvSpPr>
      <xdr:spPr>
        <a:xfrm>
          <a:off x="55331592" y="1378669"/>
          <a:ext cx="4845280" cy="1457183"/>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200" b="1" i="0" u="none" strike="noStrike" kern="1200" cap="none" spc="0" normalizeH="0" baseline="0" noProof="0">
              <a:ln>
                <a:noFill/>
              </a:ln>
              <a:solidFill>
                <a:srgbClr val="181A35"/>
              </a:solidFill>
              <a:effectLst/>
              <a:uLnTx/>
              <a:uFillTx/>
              <a:latin typeface="Calibri" panose="020F0502020204030204"/>
              <a:ea typeface="+mn-ea"/>
              <a:cs typeface="+mn-cs"/>
            </a:rPr>
            <a:t>Definities:</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200" b="0" i="0" u="none" strike="noStrike" kern="1200" cap="none" spc="0" normalizeH="0" baseline="0" noProof="0">
              <a:ln>
                <a:noFill/>
              </a:ln>
              <a:solidFill>
                <a:srgbClr val="181A35"/>
              </a:solidFill>
              <a:effectLst/>
              <a:uLnTx/>
              <a:uFillTx/>
              <a:latin typeface="Calibri" panose="020F0502020204030204"/>
              <a:ea typeface="+mn-ea"/>
              <a:cs typeface="+mn-cs"/>
            </a:rPr>
            <a:t>Huishoudelijk afval: Alle soorten afval die in een huishouden worden geproduceerd. Dit wordt in verschillende categorieen gescheiden, zoals glas en karton.</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200" b="0" i="0" u="none" strike="noStrike" kern="1200" cap="none" spc="0" normalizeH="0" baseline="0" noProof="0">
              <a:ln>
                <a:noFill/>
              </a:ln>
              <a:solidFill>
                <a:srgbClr val="181A35"/>
              </a:solidFill>
              <a:effectLst/>
              <a:uLnTx/>
              <a:uFillTx/>
              <a:latin typeface="Calibri" panose="020F0502020204030204"/>
              <a:ea typeface="+mn-ea"/>
              <a:cs typeface="+mn-cs"/>
            </a:rPr>
            <a:t>Huishoudelijk restafval: Dit is een subcategorie van huishoudelijk afval. En houdt het overige afval in, wat niet gescheiden is.  </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endParaRPr kumimoji="0" lang="nl-NL" sz="1200" b="1" i="0" u="none" strike="noStrike" kern="1200" cap="none" spc="0" normalizeH="0" baseline="0" noProof="0">
            <a:ln>
              <a:noFill/>
            </a:ln>
            <a:solidFill>
              <a:srgbClr val="181A35"/>
            </a:solidFill>
            <a:effectLst/>
            <a:uLnTx/>
            <a:uFillTx/>
            <a:latin typeface="Calibri" panose="020F0502020204030204"/>
            <a:ea typeface="+mn-ea"/>
            <a:cs typeface="+mn-cs"/>
          </a:endParaRP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endParaRPr kumimoji="0" lang="nl-NL" sz="1200" b="0" i="0" u="none" strike="noStrike" kern="1200" cap="none" spc="0" normalizeH="0" baseline="0" noProof="0">
            <a:ln>
              <a:noFill/>
            </a:ln>
            <a:solidFill>
              <a:srgbClr val="181A35"/>
            </a:solidFill>
            <a:effectLst/>
            <a:uLnTx/>
            <a:uFillTx/>
            <a:latin typeface="Calibri" panose="020F0502020204030204"/>
            <a:ea typeface="+mn-ea"/>
            <a:cs typeface="+mn-cs"/>
          </a:endParaRP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endParaRPr kumimoji="0" lang="en-US" sz="2000" b="0" i="0" u="none" strike="noStrike" kern="1200" cap="none" spc="0" normalizeH="0" baseline="0" noProof="0">
            <a:ln>
              <a:noFill/>
            </a:ln>
            <a:solidFill>
              <a:srgbClr val="181A35"/>
            </a:solidFill>
            <a:effectLst/>
            <a:uLnTx/>
            <a:uFillTx/>
            <a:latin typeface="Calibri" panose="020F0502020204030204"/>
            <a:ea typeface="+mn-ea"/>
            <a:cs typeface="+mn-cs"/>
          </a:endParaRPr>
        </a:p>
      </xdr:txBody>
    </xdr:sp>
    <xdr:clientData/>
  </xdr:twoCellAnchor>
  <xdr:twoCellAnchor>
    <xdr:from>
      <xdr:col>0</xdr:col>
      <xdr:colOff>216477</xdr:colOff>
      <xdr:row>0</xdr:row>
      <xdr:rowOff>233796</xdr:rowOff>
    </xdr:from>
    <xdr:to>
      <xdr:col>10</xdr:col>
      <xdr:colOff>364188</xdr:colOff>
      <xdr:row>6</xdr:row>
      <xdr:rowOff>18227</xdr:rowOff>
    </xdr:to>
    <xdr:sp macro="" textlink="">
      <xdr:nvSpPr>
        <xdr:cNvPr id="18" name="Rechthoek: afgeronde hoeken 92">
          <a:extLst>
            <a:ext uri="{FF2B5EF4-FFF2-40B4-BE49-F238E27FC236}">
              <a16:creationId xmlns:a16="http://schemas.microsoft.com/office/drawing/2014/main" id="{8E4957FF-1E42-47EA-B740-4B797859BC3F}"/>
            </a:ext>
          </a:extLst>
        </xdr:cNvPr>
        <xdr:cNvSpPr/>
      </xdr:nvSpPr>
      <xdr:spPr>
        <a:xfrm>
          <a:off x="216477" y="233796"/>
          <a:ext cx="8460438" cy="1793340"/>
        </a:xfrm>
        <a:prstGeom prst="roundRect">
          <a:avLst/>
        </a:prstGeom>
        <a:solidFill>
          <a:srgbClr val="B9DF39"/>
        </a:solidFill>
        <a:ln w="57150" cap="flat" cmpd="sng" algn="ctr">
          <a:solidFill>
            <a:srgbClr val="B9DF39"/>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440056</xdr:colOff>
      <xdr:row>0</xdr:row>
      <xdr:rowOff>288666</xdr:rowOff>
    </xdr:from>
    <xdr:to>
      <xdr:col>10</xdr:col>
      <xdr:colOff>225136</xdr:colOff>
      <xdr:row>6</xdr:row>
      <xdr:rowOff>1</xdr:rowOff>
    </xdr:to>
    <xdr:sp macro="" textlink="">
      <xdr:nvSpPr>
        <xdr:cNvPr id="19" name="Tijdelijke aanduiding voor inhoud 1">
          <a:extLst>
            <a:ext uri="{FF2B5EF4-FFF2-40B4-BE49-F238E27FC236}">
              <a16:creationId xmlns:a16="http://schemas.microsoft.com/office/drawing/2014/main" id="{10E3BBC8-C089-46A0-8819-F0E20912C333}"/>
            </a:ext>
          </a:extLst>
        </xdr:cNvPr>
        <xdr:cNvSpPr>
          <a:spLocks noGrp="1"/>
        </xdr:cNvSpPr>
      </xdr:nvSpPr>
      <xdr:spPr>
        <a:xfrm>
          <a:off x="440056" y="288666"/>
          <a:ext cx="8097807" cy="1720244"/>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1"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Beschrijving:</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In dit tabblad en het tabblad hiernaast wordt de procentuele verdeling over de routes voor het </a:t>
          </a:r>
          <a:r>
            <a:rPr kumimoji="0" lang="nl-NL" sz="1050" b="1"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scenario zonder kringlooporgansatie </a:t>
          </a: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berekend. Dit wordt gedaan door te onderzoeken hoeveel ton er per categorie er wordt ingezameld via breng- (milieustraat) en haalsysteem (containers langs de weg/ondergronds). Het afval wordt gesorteerd en verdeeld over recycling en verbranding.</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Daarnaast wordt gekeken hoeveel ton goederen er wordt hergebruikt door verkoop in een kringlooporganisatie of via internetverkoop/giften. In het tabblad "Percentages scenario zonder kw" wordt het percentage wat wordt hergebruikt door verkoop bij de kringlooporganisatie, verdeeld over het de andere routes om het scenario zonder kringloopwinkel weer te geven.</a:t>
          </a:r>
          <a:endParaRPr kumimoji="0" lang="nl-NL" sz="1050" b="1"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endParaRP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endParaRPr kumimoji="0" lang="nl-NL" sz="120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endParaRP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endParaRPr kumimoji="0" lang="en-US" sz="2000" b="0" i="0" u="none" strike="noStrike" kern="1200" cap="none" spc="0" normalizeH="0" baseline="0" noProof="0">
            <a:ln>
              <a:noFill/>
            </a:ln>
            <a:solidFill>
              <a:srgbClr val="181A35"/>
            </a:solidFill>
            <a:effectLst/>
            <a:uLnTx/>
            <a:uFillTx/>
            <a:latin typeface="Calibri" panose="020F0502020204030204"/>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523875</xdr:colOff>
      <xdr:row>2</xdr:row>
      <xdr:rowOff>66672</xdr:rowOff>
    </xdr:from>
    <xdr:to>
      <xdr:col>19</xdr:col>
      <xdr:colOff>211455</xdr:colOff>
      <xdr:row>22</xdr:row>
      <xdr:rowOff>95249</xdr:rowOff>
    </xdr:to>
    <xdr:sp macro="" textlink="">
      <xdr:nvSpPr>
        <xdr:cNvPr id="4" name="Rechthoek: afgeronde hoeken 92">
          <a:extLst>
            <a:ext uri="{FF2B5EF4-FFF2-40B4-BE49-F238E27FC236}">
              <a16:creationId xmlns:a16="http://schemas.microsoft.com/office/drawing/2014/main" id="{B0830347-3DDA-7A0C-BA18-C48DCFCFBC76}"/>
            </a:ext>
          </a:extLst>
        </xdr:cNvPr>
        <xdr:cNvSpPr/>
      </xdr:nvSpPr>
      <xdr:spPr>
        <a:xfrm>
          <a:off x="8372475" y="352422"/>
          <a:ext cx="6602730" cy="4238627"/>
        </a:xfrm>
        <a:prstGeom prst="roundRect">
          <a:avLst/>
        </a:prstGeom>
        <a:solidFill>
          <a:srgbClr val="B9DF39"/>
        </a:solidFill>
        <a:ln w="57150" cap="flat" cmpd="sng" algn="ctr">
          <a:solidFill>
            <a:srgbClr val="B9DF39"/>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9</xdr:col>
      <xdr:colOff>97155</xdr:colOff>
      <xdr:row>1</xdr:row>
      <xdr:rowOff>129540</xdr:rowOff>
    </xdr:from>
    <xdr:to>
      <xdr:col>19</xdr:col>
      <xdr:colOff>243840</xdr:colOff>
      <xdr:row>18</xdr:row>
      <xdr:rowOff>66675</xdr:rowOff>
    </xdr:to>
    <xdr:sp macro="" textlink="">
      <xdr:nvSpPr>
        <xdr:cNvPr id="5" name="Tijdelijke aanduiding voor inhoud 1">
          <a:extLst>
            <a:ext uri="{FF2B5EF4-FFF2-40B4-BE49-F238E27FC236}">
              <a16:creationId xmlns:a16="http://schemas.microsoft.com/office/drawing/2014/main" id="{C1AB5E57-FC8D-EF78-C76C-B5EA94469FC2}"/>
            </a:ext>
          </a:extLst>
        </xdr:cNvPr>
        <xdr:cNvSpPr>
          <a:spLocks noGrp="1"/>
        </xdr:cNvSpPr>
      </xdr:nvSpPr>
      <xdr:spPr>
        <a:xfrm>
          <a:off x="8574405" y="272415"/>
          <a:ext cx="6433185" cy="3642360"/>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Clr>
              <a:srgbClr val="5CA85F"/>
            </a:buClr>
            <a:buFont typeface="Arial" panose="020B0604020202020204" pitchFamily="34" charset="0"/>
            <a:buChar char="•"/>
            <a:defRPr sz="2800" kern="1200">
              <a:solidFill>
                <a:srgbClr val="181A35"/>
              </a:solidFill>
              <a:latin typeface="Montserrat" panose="00000500000000000000" pitchFamily="2" charset="0"/>
              <a:ea typeface="+mn-ea"/>
              <a:cs typeface="+mn-cs"/>
            </a:defRPr>
          </a:lvl1pPr>
          <a:lvl2pPr marL="685800" indent="-228600" algn="l" defTabSz="914400" rtl="0" eaLnBrk="1" latinLnBrk="0" hangingPunct="1">
            <a:lnSpc>
              <a:spcPct val="90000"/>
            </a:lnSpc>
            <a:spcBef>
              <a:spcPts val="500"/>
            </a:spcBef>
            <a:buClr>
              <a:srgbClr val="5CA85F"/>
            </a:buClr>
            <a:buFont typeface="Arial" panose="020B0604020202020204" pitchFamily="34" charset="0"/>
            <a:buChar char="•"/>
            <a:defRPr sz="2400" kern="1200">
              <a:solidFill>
                <a:srgbClr val="181A35"/>
              </a:solidFill>
              <a:latin typeface="Montserrat" panose="00000500000000000000" pitchFamily="2" charset="0"/>
              <a:ea typeface="+mn-ea"/>
              <a:cs typeface="+mn-cs"/>
            </a:defRPr>
          </a:lvl2pPr>
          <a:lvl3pPr marL="1143000" indent="-228600" algn="l" defTabSz="914400" rtl="0" eaLnBrk="1" latinLnBrk="0" hangingPunct="1">
            <a:lnSpc>
              <a:spcPct val="90000"/>
            </a:lnSpc>
            <a:spcBef>
              <a:spcPts val="500"/>
            </a:spcBef>
            <a:buClr>
              <a:srgbClr val="5CA85F"/>
            </a:buClr>
            <a:buFont typeface="Arial" panose="020B0604020202020204" pitchFamily="34" charset="0"/>
            <a:buChar char="•"/>
            <a:defRPr sz="2000" kern="1200">
              <a:solidFill>
                <a:srgbClr val="181A35"/>
              </a:solidFill>
              <a:latin typeface="Montserrat" panose="00000500000000000000" pitchFamily="2" charset="0"/>
              <a:ea typeface="+mn-ea"/>
              <a:cs typeface="+mn-cs"/>
            </a:defRPr>
          </a:lvl3pPr>
          <a:lvl4pPr marL="16002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4pPr>
          <a:lvl5pPr marL="2057400" indent="-228600" algn="l" defTabSz="914400" rtl="0" eaLnBrk="1" latinLnBrk="0" hangingPunct="1">
            <a:lnSpc>
              <a:spcPct val="90000"/>
            </a:lnSpc>
            <a:spcBef>
              <a:spcPts val="500"/>
            </a:spcBef>
            <a:buClr>
              <a:srgbClr val="5CA85F"/>
            </a:buClr>
            <a:buFont typeface="Arial" panose="020B0604020202020204" pitchFamily="34" charset="0"/>
            <a:buChar char="•"/>
            <a:defRPr sz="1800" kern="1200">
              <a:solidFill>
                <a:srgbClr val="181A35"/>
              </a:solidFill>
              <a:latin typeface="Montserrat" panose="00000500000000000000" pitchFamily="2" charset="0"/>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endPar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endParaRP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1"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Beschrijving:</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Wanneer er geen kringlooporganisatie is, zullen deze producten verdeeld worden over de andere routes. </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Wij hanteren de aanname dat gebruikte goederen met grote restwaarde verkocht zullen worden. Lukt de verkoop niet dan worden zij naar een kringlooporganisatie gebracht. Als de kringloop niet meer in de route bestaat, dan zal de verkoop via internet maar gering stijgen. Hierom is een aanname gedaan dat 15% van wat hergebruikt wordt in een kringlooporganisatie, naar internetverkoop zal gaan.</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Hierdoor blijft er 85% van de kringloopgoederen over wat naar de milieustraat zal gaan of in het restafval terecht komt. De massa van herbruikbare goederen  van de milieustraat en restafval zal verdeeld worden over recycling, afvalverbranding. Dat is verdeeld volgens dezelfde percentages uit scenario 1a, grotendeels op basis van de bronnen: Samenstelling van het huishoudelijk restafval - 2022, RWS en Statline - gemeentelijke afvalstoffen, CBS.</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Op basis van een interview in september 2024 met de bedrijfsleider van de Estafette in Leeuwarden wordt verwacht dat deze verdeling voor fietsen anders zal liggen. Fietsen die bij de kringloop verkocht worden zijn in goede staat en hierom wordt er voor deze categorie aangenomen dat wanneer de kringloop zal sluiten, 90% via internetverkoop/particulier/giften hergebruikt zal worden. De overige 10% zal worden verdeeld op basis van de bovengenoemde bronnen, wat met name recycling is.</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r>
            <a:rPr kumimoji="0" lang="nl-NL" sz="1050" b="0" i="0" u="none" strike="noStrike" kern="1200" cap="none" spc="0" normalizeH="0" baseline="0" noProof="0">
              <a:ln>
                <a:noFill/>
              </a:ln>
              <a:solidFill>
                <a:srgbClr val="181A35"/>
              </a:solidFill>
              <a:effectLst/>
              <a:uLnTx/>
              <a:uFillTx/>
              <a:latin typeface="Verdana" panose="020B0604030504040204" pitchFamily="34" charset="0"/>
              <a:ea typeface="Verdana" panose="020B0604030504040204" pitchFamily="34" charset="0"/>
              <a:cs typeface="+mn-cs"/>
            </a:rPr>
            <a:t>Voor de categorie overig is geen betrouwbare data beschikbaar, hierom is het gemiddelde van de andere categorieen genomen.</a:t>
          </a: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endParaRPr kumimoji="0" lang="nl-NL" sz="1200" b="0" i="0" u="none" strike="noStrike" kern="1200" cap="none" spc="0" normalizeH="0" baseline="0" noProof="0">
            <a:ln>
              <a:noFill/>
            </a:ln>
            <a:solidFill>
              <a:srgbClr val="181A35"/>
            </a:solidFill>
            <a:effectLst/>
            <a:uLnTx/>
            <a:uFillTx/>
            <a:latin typeface="Calibri" panose="020F0502020204030204"/>
            <a:ea typeface="+mn-ea"/>
            <a:cs typeface="+mn-cs"/>
          </a:endParaRPr>
        </a:p>
        <a:p>
          <a:pPr marL="0" marR="0" lvl="0" indent="0" algn="l" defTabSz="914400" rtl="0" eaLnBrk="1" fontAlgn="auto" latinLnBrk="0" hangingPunct="1">
            <a:lnSpc>
              <a:spcPct val="90000"/>
            </a:lnSpc>
            <a:spcBef>
              <a:spcPts val="1000"/>
            </a:spcBef>
            <a:spcAft>
              <a:spcPts val="0"/>
            </a:spcAft>
            <a:buClr>
              <a:srgbClr val="5CA85F"/>
            </a:buClr>
            <a:buSzTx/>
            <a:buFont typeface="Arial" panose="020B0604020202020204" pitchFamily="34" charset="0"/>
            <a:buNone/>
            <a:tabLst/>
            <a:defRPr/>
          </a:pPr>
          <a:endParaRPr kumimoji="0" lang="en-US" sz="2000" b="0" i="0" u="none" strike="noStrike" kern="1200" cap="none" spc="0" normalizeH="0" baseline="0" noProof="0">
            <a:ln>
              <a:noFill/>
            </a:ln>
            <a:solidFill>
              <a:srgbClr val="181A35"/>
            </a:solidFill>
            <a:effectLst/>
            <a:uLnTx/>
            <a:uFillTx/>
            <a:latin typeface="Calibri" panose="020F0502020204030204"/>
            <a:ea typeface="+mn-ea"/>
            <a:cs typeface="+mn-cs"/>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Klaske Geene | Ecoras" id="{176B86BA-A0FB-44C9-A932-B4EFDBDFB1EB}" userId="S::k.geene@ecoras.nl::3a632126-68cd-4f54-9814-466dfb5e675b" providerId="AD"/>
  <person displayName="Micha Klaarenbeek | Ecoras" id="{59031A49-6ACD-4A47-99AC-E272DD90F649}" userId="S::m.klaarenbeek@ecoras.nl::e150f9fe-79f8-4bf5-8665-e6775fb36ede" providerId="AD"/>
</personList>
</file>

<file path=xl/theme/theme1.xml><?xml version="1.0" encoding="utf-8"?>
<a:theme xmlns:a="http://schemas.openxmlformats.org/drawingml/2006/main" name="Office Theme 2007 - 2010">
  <a:themeElements>
    <a:clrScheme name="Ecoras">
      <a:dk1>
        <a:sysClr val="windowText" lastClr="000000"/>
      </a:dk1>
      <a:lt1>
        <a:sysClr val="window" lastClr="FFFFFF"/>
      </a:lt1>
      <a:dk2>
        <a:srgbClr val="181A35"/>
      </a:dk2>
      <a:lt2>
        <a:srgbClr val="F2F2F2"/>
      </a:lt2>
      <a:accent1>
        <a:srgbClr val="181A35"/>
      </a:accent1>
      <a:accent2>
        <a:srgbClr val="2DC1C1"/>
      </a:accent2>
      <a:accent3>
        <a:srgbClr val="6DCF82"/>
      </a:accent3>
      <a:accent4>
        <a:srgbClr val="B9DF39"/>
      </a:accent4>
      <a:accent5>
        <a:srgbClr val="98C841"/>
      </a:accent5>
      <a:accent6>
        <a:srgbClr val="5DA95E"/>
      </a:accent6>
      <a:hlink>
        <a:srgbClr val="18BCD5"/>
      </a:hlink>
      <a:folHlink>
        <a:srgbClr val="CAE327"/>
      </a:folHlink>
    </a:clrScheme>
    <a:fontScheme name="Ecoras">
      <a:majorFont>
        <a:latin typeface="Montserrat"/>
        <a:ea typeface=""/>
        <a:cs typeface=""/>
      </a:majorFont>
      <a:minorFont>
        <a:latin typeface="Calibri"/>
        <a:ea typeface=""/>
        <a:cs typeface=""/>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5" dT="2024-09-23T12:40:09.90" personId="{176B86BA-A0FB-44C9-A932-B4EFDBDFB1EB}" id="{E85CA979-31F4-4CEC-AA5A-AEBEE688AD91}">
    <text>Wegens het ontbreken van data, is voor de categorie overig het gemiddelde  van de andere categorieen genomen</text>
  </threadedComment>
  <threadedComment ref="C28" dT="2024-09-03T10:01:46.07" personId="{176B86BA-A0FB-44C9-A932-B4EFDBDFB1EB}" id="{80E845D2-3201-4ADC-8025-71B67A3A407F}">
    <text>Totale impact voor de hoeveelheid ton voor hergebruik</text>
  </threadedComment>
  <threadedComment ref="D28" dT="2024-09-03T10:01:57.85" personId="{176B86BA-A0FB-44C9-A932-B4EFDBDFB1EB}" id="{AB4A28FA-25DD-4562-9A15-CC69A5152A33}">
    <text>Totale impact voor de hoeveelheid ton recycling</text>
  </threadedComment>
  <threadedComment ref="E28" dT="2024-09-03T10:02:10.96" personId="{176B86BA-A0FB-44C9-A932-B4EFDBDFB1EB}" id="{D1953FFD-5A85-4473-8F3F-919187D4B759}">
    <text>Totale impact voor de hoeveelheid ton verbranding</text>
  </threadedComment>
  <threadedComment ref="F28" dT="2024-09-03T10:02:20.77" personId="{176B86BA-A0FB-44C9-A932-B4EFDBDFB1EB}" id="{B8FD6C2D-F371-4E19-83B1-C5B454099E53}">
    <text xml:space="preserve">Totale impact voor transport </text>
  </threadedComment>
  <threadedComment ref="C63" dT="2024-09-03T10:01:46.07" personId="{176B86BA-A0FB-44C9-A932-B4EFDBDFB1EB}" id="{0C914B36-A7B2-4DAB-8587-2D6D9E4B3CC2}">
    <text>Totale impact voor de hoeveelheid ton voor hergebruik</text>
  </threadedComment>
  <threadedComment ref="D63" dT="2024-09-03T10:01:57.85" personId="{176B86BA-A0FB-44C9-A932-B4EFDBDFB1EB}" id="{8591089F-F3E3-4E55-B5F4-532540874CA1}">
    <text>Totale impact voor de hoeveelheid ton recycling</text>
  </threadedComment>
  <threadedComment ref="E63" dT="2024-09-03T10:02:10.96" personId="{176B86BA-A0FB-44C9-A932-B4EFDBDFB1EB}" id="{120A8CC0-6584-4F65-8555-AFB6B06F2933}">
    <text>Totale impact voor de hoeveelheid ton verbranding</text>
  </threadedComment>
  <threadedComment ref="F63" dT="2024-09-03T10:02:20.77" personId="{176B86BA-A0FB-44C9-A932-B4EFDBDFB1EB}" id="{A4F91933-3977-43B2-BA1E-8F0E738B1B40}">
    <text xml:space="preserve">Totale impact voor transport </text>
  </threadedComment>
  <threadedComment ref="G86" dT="2024-09-03T10:01:46.07" personId="{176B86BA-A0FB-44C9-A932-B4EFDBDFB1EB}" id="{EC02B5C0-3D45-4813-863C-8F2BC2E2D37C}">
    <text>Totale impact voor de hoeveelheid ton voor hergebruik</text>
  </threadedComment>
  <threadedComment ref="H86" dT="2024-09-03T10:01:57.85" personId="{176B86BA-A0FB-44C9-A932-B4EFDBDFB1EB}" id="{DC03257D-3011-4E06-A047-F4EA5690D71F}">
    <text>Totale impact voor de hoeveelheid ton recycling</text>
  </threadedComment>
  <threadedComment ref="I86" dT="2024-09-03T10:02:10.96" personId="{176B86BA-A0FB-44C9-A932-B4EFDBDFB1EB}" id="{BA2907FB-91E1-4BFD-A783-457586B962A6}">
    <text>Totale impact voor de hoeveelheid ton verbranding</text>
  </threadedComment>
  <threadedComment ref="J86" dT="2024-09-03T10:02:20.77" personId="{176B86BA-A0FB-44C9-A932-B4EFDBDFB1EB}" id="{B7091F5C-3E99-4D07-BE30-EE7292B9333E}">
    <text xml:space="preserve">Totale impact voor transport </text>
  </threadedComment>
  <threadedComment ref="M86" dT="2024-09-03T10:01:46.07" personId="{176B86BA-A0FB-44C9-A932-B4EFDBDFB1EB}" id="{7743CCB2-9BD4-4496-8F0D-46B3D6625F70}">
    <text>Totale impact voor de hoeveelheid ton voor hergebruik</text>
  </threadedComment>
  <threadedComment ref="N86" dT="2024-09-03T10:01:57.85" personId="{176B86BA-A0FB-44C9-A932-B4EFDBDFB1EB}" id="{E711F49A-04DF-4EAB-984F-966F31812F65}">
    <text>Totale impact voor de hoeveelheid ton recycling</text>
  </threadedComment>
  <threadedComment ref="O86" dT="2024-09-03T10:02:10.96" personId="{176B86BA-A0FB-44C9-A932-B4EFDBDFB1EB}" id="{6F4CBD56-A18F-41DD-B622-487D02DA726F}">
    <text>Totale impact voor de hoeveelheid ton verbranding</text>
  </threadedComment>
  <threadedComment ref="P86" dT="2024-09-03T10:02:20.77" personId="{176B86BA-A0FB-44C9-A932-B4EFDBDFB1EB}" id="{B5DD7442-A253-42C1-930F-45DB83699DE8}">
    <text xml:space="preserve">Totale impact voor transport </text>
  </threadedComment>
  <threadedComment ref="L112" dT="2024-10-15T06:58:22.16" personId="{176B86BA-A0FB-44C9-A932-B4EFDBDFB1EB}" id="{510CE3A5-AD89-430D-9540-EC73C7A1E5CA}">
    <text>Er zijn aannames gemaakt voor het transport per productgroep. De totaalverdeling auto/vrachtwagen komt overeen met de data van BKN.</text>
  </threadedComment>
  <threadedComment ref="M114" dT="2024-10-15T10:14:00.30" personId="{176B86BA-A0FB-44C9-A932-B4EFDBDFB1EB}" id="{AE38C704-AEAB-477F-8DFC-E5D4B837DAB4}">
    <text>8,72% van de totale hoeveelheid goederen wordt door een vrachtwagen opgehaald uit textielcontainers. Textiel is 13,32% van de totaalhoeveelheid goederen. 8,72%*100%:13,32% = 65,47%</text>
  </threadedComment>
  <threadedComment ref="C126" dT="2024-10-14T12:15:36.34" personId="{176B86BA-A0FB-44C9-A932-B4EFDBDFB1EB}" id="{D088E9EF-0C1F-4218-AB64-ED24444B188E}">
    <text>De verdeling auto/vrachtwagen is gebaseerd op aannames. Hiervan is uitgegaan van 50/50, tenzij dit onwaarschijnlijk is.</text>
  </threadedComment>
</ThreadedComments>
</file>

<file path=xl/threadedComments/threadedComment2.xml><?xml version="1.0" encoding="utf-8"?>
<ThreadedComments xmlns="http://schemas.microsoft.com/office/spreadsheetml/2018/threadedcomments" xmlns:x="http://schemas.openxmlformats.org/spreadsheetml/2006/main">
  <threadedComment ref="P10" dT="2024-08-22T08:33:30.83" personId="{59031A49-6ACD-4A47-99AC-E272DD90F649}" id="{32741D09-A76C-4877-A630-94F2EE0BE241}">
    <text xml:space="preserve">Electronische component/printplaat
</text>
  </threadedComment>
  <threadedComment ref="Q10" dT="2024-08-22T09:33:09.59" personId="{59031A49-6ACD-4A47-99AC-E272DD90F649}" id="{94F34043-9521-449D-BEE7-1CA60DDD5479}">
    <text>50/50 mix katoen en polyester</text>
  </threadedComment>
  <threadedComment ref="M13" dT="2024-08-22T08:00:57.79" personId="{59031A49-6ACD-4A47-99AC-E272DD90F649}" id="{692F7E1D-5656-4F8B-BFF7-C05DA467EA74}">
    <text>Plastic + Coatings</text>
  </threadedComment>
  <threadedComment ref="Q13" dT="2024-08-22T08:03:04.40" personId="{59031A49-6ACD-4A47-99AC-E272DD90F649}" id="{1A81F752-2397-4FC4-B643-B48FAA2FE9E8}">
    <text>Textile &amp; leather hier op geplaatst, is een passende proxy</text>
  </threadedComment>
  <threadedComment ref="V13" dT="2024-08-22T08:08:41.68" personId="{59031A49-6ACD-4A47-99AC-E272DD90F649}" id="{443001D9-0238-4082-9A6A-9EC12570F051}">
    <text>Unspecified (CBS) is o.b.v. ⅓ verhouding verdeeld tussen de drie grootste materiaal (dus MDF, Staal, Hout). Dus deze categorien krijgen +(1/3x23%)</text>
  </threadedComment>
  <threadedComment ref="U14" dT="2024-08-18T21:20:11.26" personId="{59031A49-6ACD-4A47-99AC-E272DD90F649}" id="{EE3A3114-9B6C-45E0-83E1-2FDEE3B6C794}">
    <text>In dit geval steen/keramiek</text>
  </threadedComment>
  <threadedComment ref="Q20" dT="2024-09-24T10:11:52.92" personId="{59031A49-6ACD-4A47-99AC-E272DD90F649}" id="{49350D0D-A0DB-4C23-ABD5-20E694986962}">
    <text>(09-2024) Polykatoen wordt niet/nauwelijks gerecycled omdat dit een lastig te recyclen materiaal is. Recycle technieken zijn op dit moment in een laag TRL (onder TRL 5/6). Daarom wordt de impact van verbranding aangenomen</text>
  </threadedComment>
</ThreadedComments>
</file>

<file path=xl/threadedComments/threadedComment3.xml><?xml version="1.0" encoding="utf-8"?>
<ThreadedComments xmlns="http://schemas.microsoft.com/office/spreadsheetml/2018/threadedcomments" xmlns:x="http://schemas.openxmlformats.org/spreadsheetml/2006/main">
  <threadedComment ref="C34" dT="2024-07-02T10:01:48.59" personId="{176B86BA-A0FB-44C9-A932-B4EFDBDFB1EB}" id="{5BD8C597-74B4-4CDD-BF0F-7E663DDA969A}">
    <text>Densitiy between 500 kg/m3 en 1000 kg/m3. Gemiddeld dus: 1/(750 kg/m3)=0,0013333 m3</text>
  </threadedComment>
  <threadedComment ref="D34" dT="2024-07-17T08:59:00.25" personId="{176B86BA-A0FB-44C9-A932-B4EFDBDFB1EB}" id="{1DAF400D-56AD-45BC-953E-B14BD116378C}">
    <text>RER (Europa) gekozen omdat het aannemelijk is dat hout uit Europa komt</text>
  </threadedComment>
  <threadedComment ref="B35" dT="2024-08-28T13:37:06.11" personId="{59031A49-6ACD-4A47-99AC-E272DD90F649}" id="{90B3B704-EB51-4BF9-B5CF-0C8278079DB1}">
    <text>Zelfde density aangehouden als voor uncoated</text>
  </threadedComment>
  <threadedComment ref="C37" dT="2024-07-02T11:23:03.75" personId="{176B86BA-A0FB-44C9-A932-B4EFDBDFB1EB}" id="{D59D4CAB-3D2D-4813-9DD5-8AB70069B571}">
    <text xml:space="preserve">Hardwood=640kg/m3
Bron: Werner-Background report for the life cycle inventories of wood and wood based products for updates of ecoinvent 2.2  
1/(640 kg/m3)=0,0015625 m3
</text>
  </threadedComment>
  <threadedComment ref="D37" dT="2024-07-17T08:59:11.41" personId="{176B86BA-A0FB-44C9-A932-B4EFDBDFB1EB}" id="{88EFF531-EFBD-46F8-89C3-310B732CE286}">
    <text>RER (Europa) gekozen omdat het aannemelijk is dat hout uit Europa komt</text>
  </threadedComment>
  <threadedComment ref="C38" dT="2024-07-18T11:12:02.96" personId="{176B86BA-A0FB-44C9-A932-B4EFDBDFB1EB}" id="{F6871D8E-A4A5-4BC8-86C0-225DD380668C}">
    <text xml:space="preserve">Softwood=440kg/m3
Bron: Werner-Background report for the life cycle inventories of wood and wood based products for updates of ecoinvent 2.2 
1/(440 kg/m3)=0,0022727 m3
</text>
  </threadedComment>
  <threadedComment ref="D38" dT="2024-07-17T08:59:21.41" personId="{176B86BA-A0FB-44C9-A932-B4EFDBDFB1EB}" id="{BB571116-D049-4E29-BE91-2B4DF0F25B73}">
    <text>RER (Europa) gekozen omdat het aannemelijk is dat hout uit Europa komt</text>
  </threadedComment>
  <threadedComment ref="D39" dT="2024-08-28T13:32:05.76" personId="{59031A49-6ACD-4A47-99AC-E272DD90F649}" id="{DF874F0D-B383-4804-95BF-C287E0C4ED9A}">
    <text>Deze 3 toegevoegd omdat hout meubilair vaak nog bewerkt wordt, zowel chemische behandeling als het verven vind nog plaats nadat het ‘’kale’’ hout wordt aangeleverd in de fabriek</text>
  </threadedComment>
  <threadedComment ref="C63" dT="2024-08-28T13:42:41.21" personId="{59031A49-6ACD-4A47-99AC-E272DD90F649}" id="{146065B8-F895-4C8F-8FEB-BC3B0EA830BE}">
    <text xml:space="preserve">The product "concrete, 40MPa" represents 40MPa ready-mix concrete. The composition of concrete (for 1 m³) contains: Portland fly ash cement 365kg, Water 132kg, Gravel 1050kg, Sand 855 kg, Admixtures (air-entrainers and superplastisizers) 4.63kg. </text>
  </threadedComment>
  <threadedComment ref="F115" dT="2024-09-24T11:07:01.17" personId="{59031A49-6ACD-4A47-99AC-E272DD90F649}" id="{3E94C9E4-C993-4472-9270-5D61B756526D}">
    <text xml:space="preserve">Beperkte hoeveelheid kwalitatief goede wetenschappelijke onderzoeken te vinden over dit materiaal. Bij toekomstige update van de tool is gewenst dat er opnieuw literatuuronderzoek plaatsvindt.
</text>
  </threadedComment>
  <threadedComment ref="F116" dT="2024-09-24T10:52:35.20" personId="{59031A49-6ACD-4A47-99AC-E272DD90F649}" id="{79ECA7C1-4DD0-48E9-9D61-1B88A324C912}">
    <text>Alleen de waarden voor recycled wol zijn meegenomen. Er zijn geen goede literatuurbronnen gevonden voor de milieuwinst van recycled leer en dons gevonden</text>
  </threadedComment>
  <threadedComment ref="F117" dT="2024-09-24T10:33:06.51" personId="{59031A49-6ACD-4A47-99AC-E272DD90F649}" id="{4AA4B235-51D9-49E0-9A74-18158571A10A}">
    <text>Beperkte hoeveelheid kwalitatief goede wetenschappelijke onderzoeken te vinden over dit materiaal. Bij toekomstige update van de tool is gewenst dat er opnieuw literatuuronderzoek plaatsvindt.</text>
  </threadedComment>
</ThreadedComments>
</file>

<file path=xl/threadedComments/threadedComment4.xml><?xml version="1.0" encoding="utf-8"?>
<ThreadedComments xmlns="http://schemas.microsoft.com/office/spreadsheetml/2018/threadedcomments" xmlns:x="http://schemas.openxmlformats.org/spreadsheetml/2006/main">
  <threadedComment ref="C9" dT="2024-09-16T13:57:34.80" personId="{176B86BA-A0FB-44C9-A932-B4EFDBDFB1EB}" id="{F2E58F5B-4D14-4EE9-8B23-D98ED98CEC49}">
    <text>In overleg met RWS (Juliane Kupfernagel en Guus van den Berghe) en BKN (Liza Hoefnagels) worden de (zeer lage) percentages voor storten bij verbranding opgeteld. Gezien er een stortverbod geldt, is dit ook realistischer.</text>
  </threadedComment>
  <threadedComment ref="CO21" dT="2024-07-24T11:44:15.16" personId="{176B86BA-A0FB-44C9-A932-B4EFDBDFB1EB}" id="{95857307-FA55-4F5D-A88D-F6C38F2C3563}">
    <text>Niet alles in de categorie kunststof niet verpakking in het restafval is speelgoed, daarom is het percentage /2 gedaan. Dit is mogelijk nog een hoog getal, maar ook niet al het speelgoed bestaat uit kunststof, dus het is een aanname dat dit elkaar opheft.</text>
  </threadedComment>
  <threadedComment ref="CR21" dT="2024-07-04T09:13:00.34" personId="{176B86BA-A0FB-44C9-A932-B4EFDBDFB1EB}" id="{955DF9A3-EA7C-4575-94D3-04BED6836C8F}">
    <text>Guus: Van het restafval wordt 70-90% nagescheiden om er waardevolle materialen uit te halen voor recycling. De rest gaat naar verbranden.
Ecoras: Daarom de aanname 50/50</text>
  </threadedComment>
  <threadedComment ref="BZ22" dT="2024-07-24T08:22:26.89" personId="{176B86BA-A0FB-44C9-A932-B4EFDBDFB1EB}" id="{A880F1AC-8634-4133-A0E1-AD56F70E9781}">
    <text>Alleen deze stroom binnen al het papier, omdat het bij de kringloop voornamelijk om boeken gaat</text>
  </threadedComment>
  <threadedComment ref="CD22" dT="2024-07-24T08:21:37.45" personId="{176B86BA-A0FB-44C9-A932-B4EFDBDFB1EB}" id="{5A42A8D4-71BC-476E-8CAE-D7F877B1591B}">
    <text>Op basis van de papierrijke stroom die binnenkomt bij de kringloopwinkel schatten we in dat 95% recyclebaar is en 5% verbrand wordt</text>
  </threadedComment>
  <threadedComment ref="DC22" dT="2024-07-24T11:44:15.16" personId="{176B86BA-A0FB-44C9-A932-B4EFDBDFB1EB}" id="{3B43CB7A-6C30-4EF3-B750-3E3E0B882BF3}">
    <text xml:space="preserve">Niet alles in de categorie kunststof niet verpakking in het restafval is kleingoed en curiosa, daarom is het percentage /2 gedaan. </text>
  </threadedComment>
  <threadedComment ref="DF22" dT="2024-07-04T09:13:00.34" personId="{176B86BA-A0FB-44C9-A932-B4EFDBDFB1EB}" id="{0DB63045-50FA-42E0-8FA8-367C43C5E712}">
    <text>Guus: Van het restafval wordt 70-90% nagescheiden om er waardevolle materialen uit te halen voor recycling. De rest gaat naar verbranden.
Ecoras: Daarom de aanname 50/50</text>
  </threadedComment>
  <threadedComment ref="I23" dT="2024-07-24T10:54:27.23" personId="{176B86BA-A0FB-44C9-A932-B4EFDBDFB1EB}" id="{0A65A118-F309-435D-9BB5-74E8472FB7DC}">
    <text>Bron: Hergebruik door consumenten in Nederland 2022</text>
  </threadedComment>
  <threadedComment ref="CP23" dT="2024-07-04T09:04:08.77" personId="{176B86BA-A0FB-44C9-A932-B4EFDBDFB1EB}" id="{E68E9B20-CE72-444D-BE59-D1D1480B35B1}">
    <text xml:space="preserve">Totaal gewicht huishoudelijk afval in 2022. </text>
  </threadedComment>
  <threadedComment ref="DR23" dT="2024-07-24T12:46:38.43" personId="{176B86BA-A0FB-44C9-A932-B4EFDBDFB1EB}" id="{2AB28B61-1D49-47A1-9C40-98A43BFCCCD2}">
    <text>Aanname dat 5% van de metalen die naar de milieustraat gebracht worden uit fietsen bestaat</text>
  </threadedComment>
  <threadedComment ref="DT23" dT="2024-07-03T12:54:02.17" personId="{176B86BA-A0FB-44C9-A932-B4EFDBDFB1EB}" id="{55195477-D795-4CFB-810A-AEC2F8746E68}">
    <text xml:space="preserve">Guus: De deelstromen gaan vooral naar recycling </text>
  </threadedComment>
  <threadedComment ref="I24" dT="2024-07-24T11:23:48.78" personId="{176B86BA-A0FB-44C9-A932-B4EFDBDFB1EB}" id="{8C2CCF43-0D3D-4D02-8BB0-226FC9EE731F}">
    <text>Totaal uitgerekend op basis van kringloop gedeelte</text>
  </threadedComment>
  <threadedComment ref="J24" dT="2024-07-24T11:21:41.22" personId="{176B86BA-A0FB-44C9-A932-B4EFDBDFB1EB}" id="{16BB44CC-4297-48A6-9A35-25381B1ADE56}">
    <text>Bron: Monitor kringloop Nederland 2022. Grafiek: Ingezamelde goederen per categorie (kg)</text>
  </threadedComment>
  <threadedComment ref="BH24" dT="2024-07-03T13:33:12.37" personId="{176B86BA-A0FB-44C9-A932-B4EFDBDFB1EB}" id="{A82F5A8C-0674-424D-AF1D-8F5F3723159F}">
    <text>Bert van Estafette: Stenen/keramiek komen ook bij ons binnen.
Deze staat niet in de tabel hiernaast, maar wel in: gemeentelijke afvalstoffen; hoeveelheden cbs</text>
  </threadedComment>
  <threadedComment ref="BK24" dT="2024-07-03T13:36:07.61" personId="{176B86BA-A0FB-44C9-A932-B4EFDBDFB1EB}" id="{F6894916-25B7-4253-AC0F-30C57DDCEE21}">
    <text>Guus: De deelstromen gaan vooral naar recycling</text>
  </threadedComment>
  <threadedComment ref="CA24" dT="2024-07-04T09:04:08.77" personId="{176B86BA-A0FB-44C9-A932-B4EFDBDFB1EB}" id="{74057267-EF88-4E0A-B465-9ECA23BCC8A7}">
    <text>Totaal gewicht huishoudelijk afval in 2022. Zie cbs bron hieronder</text>
  </threadedComment>
  <threadedComment ref="I25" dT="2024-07-24T11:24:00.37" personId="{176B86BA-A0FB-44C9-A932-B4EFDBDFB1EB}" id="{6B93E321-6534-4E2A-A510-57899109CDFB}">
    <text xml:space="preserve">Totaal uitgerekend op basis van kringloop gedeelte
</text>
  </threadedComment>
  <threadedComment ref="J25" dT="2024-07-24T11:21:53.45" personId="{176B86BA-A0FB-44C9-A932-B4EFDBDFB1EB}" id="{745F146B-0271-4D6E-B0D8-D29E20CEDC30}">
    <text>Bron: Monitor kringloop Nederland 2022. Grafiek: Ingezamelde goederen per categorie (kg)</text>
  </threadedComment>
  <threadedComment ref="BH25" dT="2024-08-22T08:51:31.81" personId="{176B86BA-A0FB-44C9-A932-B4EFDBDFB1EB}" id="{4E0421E7-8505-4C1E-B772-2E0619CD95E2}">
    <text>Bert van Estafette: dakpannen komen ook bij ons binnen</text>
  </threadedComment>
  <threadedComment ref="BK25" dT="2024-07-03T10:27:06.15" personId="{176B86BA-A0FB-44C9-A932-B4EFDBDFB1EB}" id="{559280A5-FA10-4BC8-BAE1-57E2D8BF0C34}">
    <text xml:space="preserve">Guus: dakbedekking wordt vooral verbrand </text>
  </threadedComment>
  <threadedComment ref="I26" dT="2024-07-24T11:24:06.27" personId="{176B86BA-A0FB-44C9-A932-B4EFDBDFB1EB}" id="{70395E30-EAF1-434A-A42A-F44497CF4D20}">
    <text xml:space="preserve">Totaal uitgerekend op basis van kringloop gedeelte
</text>
  </threadedComment>
  <threadedComment ref="J26" dT="2024-07-24T11:21:59.80" personId="{176B86BA-A0FB-44C9-A932-B4EFDBDFB1EB}" id="{C9E8D5E2-66C3-421B-BB12-B1A06450DA20}">
    <text>Bron: Monitor kringloop Nederland 2022. Grafiek: Ingezamelde goederen per categorie (kg)</text>
  </threadedComment>
  <threadedComment ref="BK26" dT="2024-07-03T12:52:46.42" personId="{176B86BA-A0FB-44C9-A932-B4EFDBDFB1EB}" id="{638FCE7B-41C0-4E82-B88B-31B9DEB0D6A5}">
    <text xml:space="preserve">Guus: De deelstromen gaan vooral naar recycling </text>
  </threadedComment>
  <threadedComment ref="DD26" dT="2024-07-04T09:04:08.77" personId="{176B86BA-A0FB-44C9-A932-B4EFDBDFB1EB}" id="{4C17FF83-90E6-422A-A46C-E07FE67E09B0}">
    <text>Totaal gewicht huishoudelijk afval in 2022. Zie cbs bron hieronder</text>
  </threadedComment>
  <threadedComment ref="I27" dT="2024-07-24T11:24:11.92" personId="{176B86BA-A0FB-44C9-A932-B4EFDBDFB1EB}" id="{207A142C-57F7-45B2-AA26-B0970FC819FF}">
    <text xml:space="preserve">Totaal uitgerekend op basis van kringloop gedeelte
</text>
  </threadedComment>
  <threadedComment ref="J27" dT="2024-07-24T11:22:05.33" personId="{176B86BA-A0FB-44C9-A932-B4EFDBDFB1EB}" id="{8939167B-C924-45FC-BB30-A37578DB1F2A}">
    <text>Bron: Monitor kringloop Nederland 2022. Grafiek: Ingezamelde goederen per categorie (kg)</text>
  </threadedComment>
  <threadedComment ref="BK27" dT="2024-07-03T10:38:15.77" personId="{176B86BA-A0FB-44C9-A932-B4EFDBDFB1EB}" id="{07222D94-C72B-4E8D-B64E-35BD5845E672}">
    <text>Guus: A+B-hout gaat voor ongeveer 60% naar verbranden en de rest naar recycling</text>
  </threadedComment>
  <threadedComment ref="BK28" dT="2024-07-03T10:38:44.46" personId="{176B86BA-A0FB-44C9-A932-B4EFDBDFB1EB}" id="{8E09BEAF-3D70-4D0A-90C0-12F8ADAF1EB1}">
    <text>Guus: C-hout wordt vooral verbrand/gestort</text>
  </threadedComment>
  <threadedComment ref="BK29" dT="2024-07-24T08:56:53.55" personId="{176B86BA-A0FB-44C9-A932-B4EFDBDFB1EB}" id="{276DBC86-4289-47FD-AC0A-63A6154D86C7}">
    <text xml:space="preserve">Guus: De deelstromen gaan vooral naar recycling </text>
  </threadedComment>
  <threadedComment ref="BI31" dT="2024-07-24T12:48:18.64" personId="{176B86BA-A0FB-44C9-A932-B4EFDBDFB1EB}" id="{D4FDFEB4-0358-41ED-9D37-FCF94EC3470C}">
    <text>10% is eraf gehaald, om dat deze in de categorie fietsen is neergezet</text>
  </threadedComment>
  <threadedComment ref="BK31" dT="2024-07-03T12:54:02.17" personId="{176B86BA-A0FB-44C9-A932-B4EFDBDFB1EB}" id="{D1BC71AF-ED39-4660-9C09-8FAE7F4E1DD0}">
    <text xml:space="preserve">Guus: De deelstromen gaan vooral naar recycling </text>
  </threadedComment>
  <threadedComment ref="BZ35" dT="2024-07-24T08:22:26.89" personId="{176B86BA-A0FB-44C9-A932-B4EFDBDFB1EB}" id="{C0043627-6C15-434B-983D-0F0E30AB6E37}">
    <text>Alleen deze stroom binnen al het papier, omdat het bij de kringloop voornamelijk om boeken gaat</text>
  </threadedComment>
  <threadedComment ref="CA35" dT="2024-09-17T12:55:46.90" personId="{176B86BA-A0FB-44C9-A932-B4EFDBDFB1EB}" id="{9C81A907-3510-4592-8B55-DA1736FE365A}">
    <text>Gezien het grootste gedeelte in deze categorie verpakkingen, kranten etc zullen zijn, wordt geschat dat 1% uit boeken bestaat.</text>
  </threadedComment>
  <threadedComment ref="CD35" dT="2024-07-24T08:21:37.45" personId="{176B86BA-A0FB-44C9-A932-B4EFDBDFB1EB}" id="{FC9D8822-A2DF-43A6-A39B-9347BDF3952B}">
    <text>Op basis van de papierrijke stroom die binnenkomt bij de kringloopwinkel schatten we in dat 95% recyclebaar is en 5% verbrand wordt</text>
  </threadedComment>
  <threadedComment ref="AE36" dT="2024-07-31T09:12:49.67" personId="{176B86BA-A0FB-44C9-A932-B4EFDBDFB1EB}" id="{5EECCA93-ECCD-4F41-9D23-CE2F884304B8}">
    <text>Deze komen uit de tabel hieronder</text>
  </threadedComment>
  <threadedComment ref="AJ36" dT="2024-07-31T09:01:15.69" personId="{176B86BA-A0FB-44C9-A932-B4EFDBDFB1EB}" id="{22FBBDF0-B90D-4DEA-8954-3EF0AF68AFE9}">
    <text>Waarom niet keer 15000?</text>
  </threadedComment>
  <threadedComment ref="CA37" dT="2024-07-04T09:04:08.77" personId="{176B86BA-A0FB-44C9-A932-B4EFDBDFB1EB}" id="{C3B9D46C-90E5-4838-99C2-0E9003E7C309}">
    <text>Totaal gewicht huishoudelijk afval in 2022. Zie cbs bron hieronder</text>
  </threadedComment>
  <threadedComment ref="R43" dT="2024-07-31T09:35:38.64" personId="{176B86BA-A0FB-44C9-A932-B4EFDBDFB1EB}" id="{CCD007C8-E150-44EA-BD94-0B85914626D3}">
    <text>Beide hoeveelheden richting de AVI opgeteld. Verbranding uit WEEE rapportage + uit restafval (samenstelling huishoudelijk afval RWS)</text>
  </threadedComment>
  <threadedComment ref="AG43" dT="2024-07-31T09:08:13.41" personId="{176B86BA-A0FB-44C9-A932-B4EFDBDFB1EB}" id="{7DE3D9F2-1A42-4F78-B717-F42DB7E5F14F}">
    <text>Gescheiden inzameling (monitor beleidsprogramma circulair textiel)+ uit restafval (samenstelling huishoudelijk afval RWS)</text>
  </threadedComment>
  <threadedComment ref="AD59" dT="2024-09-17T13:50:00.09" personId="{176B86BA-A0FB-44C9-A932-B4EFDBDFB1EB}" id="{2D18DD44-47AD-40AA-9D71-C883B4406183}">
    <text>2021 ipv 2022 omdat de bron hierboven ook uit 2021 is.</text>
  </threadedComment>
  <threadedComment ref="AD76" dT="2024-07-31T09:15:45.08" personId="{176B86BA-A0FB-44C9-A932-B4EFDBDFB1EB}" id="{DD12A0EC-23E4-437B-9CB6-4BB8448825FD}">
    <text>2021 ipv 2022 omdat de bron hierboven ook uit 2021 is.</text>
  </threadedComment>
  <threadedComment ref="AE78" dT="2024-05-29T09:47:18.56" personId="{176B86BA-A0FB-44C9-A932-B4EFDBDFB1EB}" id="{FB1618BB-A0B5-4288-ABE2-6818C82294FA}">
    <text>Dit wordt dan opgeteld bij het gedeelte dat verbrand wordt vanaf de inzameling</text>
  </threadedComment>
</ThreadedComments>
</file>

<file path=xl/threadedComments/threadedComment5.xml><?xml version="1.0" encoding="utf-8"?>
<ThreadedComments xmlns="http://schemas.microsoft.com/office/spreadsheetml/2018/threadedcomments" xmlns:x="http://schemas.openxmlformats.org/spreadsheetml/2006/main">
  <threadedComment ref="D18" dT="2024-07-31T07:18:09.70" personId="{176B86BA-A0FB-44C9-A932-B4EFDBDFB1EB}" id="{F89FF772-520A-488F-8D40-1AC9717A1C75}">
    <text>Aaname in samenspraak met Juliane RWS en Liza BKN is dat wanneer de kringloop wegvalt er 15% meer naar hergebruik online, particulier en andere zal gaan.</text>
  </threadedComment>
  <threadedComment ref="E18" dT="2024-07-31T07:59:41.50" personId="{176B86BA-A0FB-44C9-A932-B4EFDBDFB1EB}" id="{8BCC2B5C-A302-494F-8446-3CEA0BEE30FA}">
    <text>Gezien er 15% naar internetverkoop en giften gaat, blijft er 85% over om te verdelen over recycling, afvalverbranding en storten. Dat is verdeeld volgens dezelfde percentages uit scenario 1a grotendeels op basis van de bronnen: Samenstelling van het huishoudelijk restafval - 2022, RWS en Statline - gemeentelijke afvalstoffen, CBS</text>
  </threadedComment>
  <threadedComment ref="B27" dT="2024-09-23T13:08:17.24" personId="{176B86BA-A0FB-44C9-A932-B4EFDBDFB1EB}" id="{CEB4DC65-1CA9-4195-8317-A0AFC885EE7B}">
    <text>Voor de categorie overig is geen betrouwbare data beschikbaar, hierom is het gemiddelde van de andere categorieën genomen</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s://www.moew.government.bg/static/media/ups/tiny/filebase/Waste/EEO/Electrical_product_material_composition_overview.pdf" TargetMode="External"/><Relationship Id="rId6" Type="http://schemas.microsoft.com/office/2017/10/relationships/threadedComment" Target="../threadedComments/threadedComment2.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8" Type="http://schemas.openxmlformats.org/officeDocument/2006/relationships/hyperlink" Target="https://opendata.cbs.nl/" TargetMode="External"/><Relationship Id="rId13" Type="http://schemas.openxmlformats.org/officeDocument/2006/relationships/hyperlink" Target="https://opendata.cbs.nl/" TargetMode="External"/><Relationship Id="rId18" Type="http://schemas.openxmlformats.org/officeDocument/2006/relationships/printerSettings" Target="../printerSettings/printerSettings4.bin"/><Relationship Id="rId3" Type="http://schemas.openxmlformats.org/officeDocument/2006/relationships/hyperlink" Target="https://opendata.cbs.nl/" TargetMode="External"/><Relationship Id="rId21" Type="http://schemas.openxmlformats.org/officeDocument/2006/relationships/comments" Target="../comments5.xml"/><Relationship Id="rId7" Type="http://schemas.openxmlformats.org/officeDocument/2006/relationships/hyperlink" Target="https://opendata.cbs.nl/" TargetMode="External"/><Relationship Id="rId12" Type="http://schemas.openxmlformats.org/officeDocument/2006/relationships/hyperlink" Target="https://www.afvalcirculair.nl/publish/library/316/samenstelling-van-het-huishoudelijk-restafval-2022.pdf" TargetMode="External"/><Relationship Id="rId17" Type="http://schemas.openxmlformats.org/officeDocument/2006/relationships/hyperlink" Target="https://opendata.cbs.nl/" TargetMode="External"/><Relationship Id="rId2" Type="http://schemas.openxmlformats.org/officeDocument/2006/relationships/hyperlink" Target="https://www.afvalcirculair.nl/publish/library/316/samenstelling-van-het-huishoudelijk-restafval-2022.pdf" TargetMode="External"/><Relationship Id="rId16" Type="http://schemas.openxmlformats.org/officeDocument/2006/relationships/hyperlink" Target="https://opendata.cbs.nl/" TargetMode="External"/><Relationship Id="rId20" Type="http://schemas.openxmlformats.org/officeDocument/2006/relationships/vmlDrawing" Target="../drawings/vmlDrawing5.vml"/><Relationship Id="rId1" Type="http://schemas.openxmlformats.org/officeDocument/2006/relationships/hyperlink" Target="https://www.afvalcirculair.nl/publish/library/316/samenstelling-van-het-huishoudelijk-restafval-2022.pdf" TargetMode="External"/><Relationship Id="rId6" Type="http://schemas.openxmlformats.org/officeDocument/2006/relationships/hyperlink" Target="https://www.afvalcirculair.nl/publish/library/316/samenstelling-van-het-huishoudelijk-restafval-2022.pdf" TargetMode="External"/><Relationship Id="rId11" Type="http://schemas.openxmlformats.org/officeDocument/2006/relationships/hyperlink" Target="https://opendata.cbs.nl/" TargetMode="External"/><Relationship Id="rId5" Type="http://schemas.openxmlformats.org/officeDocument/2006/relationships/hyperlink" Target="https://open.overheid.nl/documenten/ronl-fd0452b024ed438ed75d7373303de208af020422/pdf" TargetMode="External"/><Relationship Id="rId15" Type="http://schemas.openxmlformats.org/officeDocument/2006/relationships/hyperlink" Target="https://open.rijkswaterstaat.nl/open-overheid/onderzoeksrapporten/@246081/grootzitmeubilair-productstromen/" TargetMode="External"/><Relationship Id="rId10" Type="http://schemas.openxmlformats.org/officeDocument/2006/relationships/hyperlink" Target="https://www.afvalcirculair.nl/publish/library/316/samenstelling-van-het-huishoudelijk-restafval-2022.pdf" TargetMode="External"/><Relationship Id="rId19" Type="http://schemas.openxmlformats.org/officeDocument/2006/relationships/drawing" Target="../drawings/drawing7.xml"/><Relationship Id="rId4" Type="http://schemas.openxmlformats.org/officeDocument/2006/relationships/hyperlink" Target="https://nationaalweeeregister.nl/app/uploads/2023/06/NWR-20230629-Rapportage-2022.pdf" TargetMode="External"/><Relationship Id="rId9" Type="http://schemas.openxmlformats.org/officeDocument/2006/relationships/hyperlink" Target="https://opendata.cbs.nl/" TargetMode="External"/><Relationship Id="rId14" Type="http://schemas.openxmlformats.org/officeDocument/2006/relationships/hyperlink" Target="https://opendata.cbs.nl/" TargetMode="External"/><Relationship Id="rId22"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AE70"/>
  <sheetViews>
    <sheetView tabSelected="1" zoomScaleNormal="100" workbookViewId="0"/>
  </sheetViews>
  <sheetFormatPr defaultColWidth="8.85546875" defaultRowHeight="12.75"/>
  <cols>
    <col min="1" max="16384" width="8.85546875" style="447"/>
  </cols>
  <sheetData>
    <row r="1" spans="1:21" s="44" customFormat="1">
      <c r="A1" s="43"/>
    </row>
    <row r="2" spans="1:21" s="44" customFormat="1"/>
    <row r="3" spans="1:21" s="44" customFormat="1"/>
    <row r="4" spans="1:21" s="44" customFormat="1">
      <c r="C4" s="46"/>
      <c r="U4" s="45"/>
    </row>
    <row r="5" spans="1:21" s="44" customFormat="1"/>
    <row r="6" spans="1:21" s="44" customFormat="1"/>
    <row r="7" spans="1:21" s="44" customFormat="1"/>
    <row r="8" spans="1:21" s="44" customFormat="1"/>
    <row r="19" spans="16:31">
      <c r="AE19" s="448"/>
    </row>
    <row r="21" spans="16:31">
      <c r="AB21" s="448"/>
    </row>
    <row r="28" spans="16:31">
      <c r="AA28" s="449"/>
    </row>
    <row r="30" spans="16:31">
      <c r="P30" s="450"/>
    </row>
    <row r="51" spans="1:30">
      <c r="AD51"/>
    </row>
    <row r="54" spans="1:30">
      <c r="B54" s="449"/>
    </row>
    <row r="55" spans="1:30">
      <c r="B55" s="449"/>
    </row>
    <row r="56" spans="1:30">
      <c r="B56" s="448"/>
    </row>
    <row r="58" spans="1:30">
      <c r="A58" s="449"/>
    </row>
    <row r="60" spans="1:30">
      <c r="A60" s="449"/>
    </row>
    <row r="62" spans="1:30">
      <c r="A62" s="449"/>
      <c r="B62" s="449"/>
    </row>
    <row r="63" spans="1:30">
      <c r="B63" s="449"/>
      <c r="J63" s="451"/>
    </row>
    <row r="64" spans="1:30">
      <c r="B64" s="449"/>
    </row>
    <row r="65" spans="2:20">
      <c r="B65" s="452"/>
    </row>
    <row r="67" spans="2:20">
      <c r="B67" s="450"/>
    </row>
    <row r="68" spans="2:20">
      <c r="B68" s="450"/>
    </row>
    <row r="69" spans="2:20">
      <c r="M69"/>
      <c r="O69"/>
    </row>
    <row r="70" spans="2:20">
      <c r="P70"/>
      <c r="T70"/>
    </row>
  </sheetData>
  <sheetProtection algorithmName="SHA-512" hashValue="bbmydDHCxP2kazA7x47RPUN7O3a9hUm+Q67coa1ne0PTgJILpuEuyZpTYK+JjZ4gyyCW0T9pPeCj70W6aeGPKg==" saltValue="mAeiV0AU9JzwBdJaJbOQf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4142C-EB52-43EE-B21D-B41078D2D177}">
  <sheetPr>
    <tabColor theme="4"/>
  </sheetPr>
  <dimension ref="A1:Y116"/>
  <sheetViews>
    <sheetView showGridLines="0" zoomScale="70" zoomScaleNormal="70" workbookViewId="0">
      <selection activeCell="F25" sqref="F25"/>
    </sheetView>
  </sheetViews>
  <sheetFormatPr defaultColWidth="8.85546875" defaultRowHeight="12.75"/>
  <cols>
    <col min="1" max="1" width="13.7109375" style="47" customWidth="1"/>
    <col min="2" max="2" width="41.85546875" style="47" customWidth="1"/>
    <col min="3" max="3" width="29.7109375" style="47" customWidth="1"/>
    <col min="4" max="4" width="19.85546875" style="47" customWidth="1"/>
    <col min="5" max="5" width="18.140625" style="47" customWidth="1"/>
    <col min="6" max="6" width="17.85546875" style="47" customWidth="1"/>
    <col min="7" max="7" width="13.7109375" style="47" customWidth="1"/>
    <col min="8" max="8" width="25.7109375" style="47" customWidth="1"/>
    <col min="9" max="9" width="14.85546875" style="47" bestFit="1" customWidth="1"/>
    <col min="10" max="10" width="23.28515625" style="47" customWidth="1"/>
    <col min="11" max="12" width="8.85546875" style="47" bestFit="1"/>
    <col min="13" max="13" width="19.5703125" style="47" bestFit="1" customWidth="1"/>
    <col min="14" max="14" width="23.5703125" style="47" customWidth="1"/>
    <col min="15" max="15" width="14.28515625" style="47" customWidth="1"/>
    <col min="16" max="16" width="8.85546875" style="47" bestFit="1"/>
    <col min="17" max="17" width="9.28515625" style="47" customWidth="1"/>
    <col min="18" max="18" width="9.7109375" style="47" customWidth="1"/>
    <col min="19" max="19" width="18" style="47" customWidth="1"/>
    <col min="20" max="20" width="19.42578125" style="47" customWidth="1"/>
    <col min="21" max="16384" width="8.85546875" style="47"/>
  </cols>
  <sheetData>
    <row r="1" spans="1:25">
      <c r="A1" s="45"/>
      <c r="B1" s="45"/>
      <c r="C1" s="45"/>
    </row>
    <row r="2" spans="1:25">
      <c r="A2" s="45"/>
      <c r="B2" s="45"/>
      <c r="C2" s="45"/>
    </row>
    <row r="3" spans="1:25">
      <c r="A3" s="45"/>
      <c r="B3" s="45"/>
      <c r="C3" s="45"/>
    </row>
    <row r="4" spans="1:25">
      <c r="A4" s="45"/>
      <c r="B4" s="45"/>
      <c r="C4" s="45"/>
    </row>
    <row r="5" spans="1:25">
      <c r="A5" s="45"/>
      <c r="B5" s="45"/>
      <c r="C5" s="45"/>
    </row>
    <row r="6" spans="1:25" s="71" customFormat="1"/>
    <row r="7" spans="1:25" s="71" customFormat="1" ht="25.15" customHeight="1">
      <c r="A7"/>
      <c r="B7"/>
      <c r="C7"/>
      <c r="D7"/>
      <c r="E7"/>
      <c r="F7"/>
      <c r="G7"/>
      <c r="H7"/>
      <c r="I7"/>
      <c r="J7"/>
      <c r="K7"/>
      <c r="L7"/>
      <c r="M7"/>
      <c r="N7"/>
      <c r="O7"/>
      <c r="P7"/>
      <c r="Q7"/>
      <c r="R7"/>
      <c r="S7"/>
      <c r="T7"/>
      <c r="U7"/>
    </row>
    <row r="8" spans="1:25" s="71" customFormat="1">
      <c r="A8" s="65"/>
      <c r="B8" s="65"/>
      <c r="C8" s="65"/>
      <c r="D8" s="65"/>
      <c r="E8" s="65"/>
      <c r="F8" s="65"/>
      <c r="G8" s="65"/>
      <c r="H8" s="65"/>
      <c r="I8" s="65"/>
      <c r="J8" s="65"/>
      <c r="K8" s="65"/>
      <c r="L8" s="65"/>
      <c r="M8" s="65"/>
      <c r="N8" s="65"/>
      <c r="O8" s="65"/>
      <c r="P8" s="65"/>
      <c r="Q8" s="65"/>
      <c r="R8" s="65"/>
      <c r="S8" s="65"/>
      <c r="T8" s="65"/>
      <c r="U8" s="65"/>
      <c r="V8" s="72"/>
      <c r="W8" s="72"/>
      <c r="X8" s="72"/>
      <c r="Y8" s="72"/>
    </row>
    <row r="9" spans="1:25" s="71" customFormat="1">
      <c r="A9" s="73"/>
      <c r="B9" s="65"/>
      <c r="C9" s="65"/>
      <c r="D9" s="65"/>
      <c r="E9" s="65"/>
      <c r="F9" s="65"/>
      <c r="G9" s="65"/>
      <c r="H9" s="65"/>
      <c r="I9" s="65"/>
      <c r="J9" s="65"/>
      <c r="K9" s="65"/>
      <c r="L9" s="65"/>
      <c r="M9" s="65"/>
      <c r="N9" s="65"/>
      <c r="O9" s="65"/>
      <c r="P9" s="65"/>
      <c r="Q9" s="65"/>
      <c r="R9" s="65"/>
      <c r="S9" s="65"/>
      <c r="T9" s="65"/>
      <c r="U9" s="65"/>
      <c r="V9" s="72"/>
      <c r="W9" s="72"/>
      <c r="X9" s="72"/>
      <c r="Y9" s="72"/>
    </row>
    <row r="10" spans="1:25" s="71" customFormat="1">
      <c r="A10" s="65"/>
      <c r="B10" s="65"/>
      <c r="C10" s="65"/>
      <c r="D10" s="497"/>
      <c r="E10" s="497"/>
      <c r="F10" s="497"/>
      <c r="G10" s="65"/>
      <c r="H10" s="65"/>
      <c r="I10" s="65"/>
      <c r="J10" s="65"/>
      <c r="K10" s="65"/>
      <c r="L10" s="65"/>
      <c r="M10" s="65"/>
      <c r="N10" s="65"/>
      <c r="O10" s="65"/>
      <c r="P10" s="65"/>
      <c r="Q10" s="65"/>
      <c r="R10" s="65"/>
      <c r="S10" s="65"/>
      <c r="T10" s="65"/>
      <c r="U10" s="65"/>
      <c r="V10" s="72"/>
      <c r="W10" s="72"/>
      <c r="X10" s="72"/>
      <c r="Y10" s="72"/>
    </row>
    <row r="11" spans="1:25" s="71" customFormat="1" ht="92.45" customHeight="1">
      <c r="A11" s="74"/>
      <c r="B11" s="126" t="s">
        <v>207</v>
      </c>
      <c r="C11" s="459" t="s">
        <v>217</v>
      </c>
      <c r="D11" s="460" t="s">
        <v>220</v>
      </c>
      <c r="E11" s="460" t="s">
        <v>218</v>
      </c>
      <c r="F11" s="460" t="s">
        <v>219</v>
      </c>
      <c r="G11" s="127"/>
      <c r="H11" s="500" t="s">
        <v>314</v>
      </c>
      <c r="I11" s="500"/>
      <c r="J11" s="128"/>
      <c r="L11" s="92"/>
      <c r="M11" s="65"/>
      <c r="N11" s="71">
        <v>156340.5</v>
      </c>
      <c r="Q11" s="65"/>
      <c r="R11" s="65"/>
      <c r="S11" s="65"/>
      <c r="T11" s="65"/>
      <c r="U11" s="65"/>
      <c r="V11" s="72"/>
      <c r="W11" s="72"/>
      <c r="X11" s="72"/>
      <c r="Y11" s="72"/>
    </row>
    <row r="12" spans="1:25" s="71" customFormat="1" ht="16.899999999999999" customHeight="1" thickBot="1">
      <c r="A12" s="74"/>
      <c r="B12" s="126"/>
      <c r="C12" s="129" t="s">
        <v>317</v>
      </c>
      <c r="D12" s="458" t="s">
        <v>318</v>
      </c>
      <c r="E12" s="455"/>
      <c r="F12" s="125"/>
      <c r="G12" s="127"/>
      <c r="H12" s="130"/>
      <c r="M12" s="65"/>
      <c r="N12" s="71">
        <v>43775.34</v>
      </c>
      <c r="Q12" s="65"/>
      <c r="R12" s="65"/>
      <c r="S12" s="65"/>
      <c r="T12" s="65"/>
      <c r="U12" s="65"/>
      <c r="V12" s="72"/>
      <c r="W12" s="72"/>
      <c r="X12" s="72"/>
      <c r="Y12" s="72"/>
    </row>
    <row r="13" spans="1:25" s="71" customFormat="1" ht="14.25" thickTop="1" thickBot="1">
      <c r="A13" s="74"/>
      <c r="B13" s="133" t="s">
        <v>7</v>
      </c>
      <c r="C13" s="461"/>
      <c r="D13" s="474">
        <v>0.60499999999999998</v>
      </c>
      <c r="E13" s="475">
        <v>0.32500000000000001</v>
      </c>
      <c r="F13" s="476">
        <v>7.0000000000000007E-2</v>
      </c>
      <c r="G13" s="137"/>
      <c r="H13" s="130"/>
      <c r="I13" s="131" t="s">
        <v>209</v>
      </c>
      <c r="J13" s="132"/>
      <c r="M13" s="65"/>
      <c r="N13" s="71">
        <v>6253.62</v>
      </c>
      <c r="Q13" s="65"/>
      <c r="R13" s="65"/>
      <c r="S13" s="65"/>
      <c r="T13" s="65"/>
      <c r="U13" s="65"/>
      <c r="V13" s="72"/>
      <c r="W13" s="72"/>
      <c r="X13" s="72"/>
      <c r="Y13" s="72"/>
    </row>
    <row r="14" spans="1:25" s="71" customFormat="1" ht="14.25" thickTop="1" thickBot="1">
      <c r="B14" s="135" t="s">
        <v>63</v>
      </c>
      <c r="C14" s="462"/>
      <c r="D14" s="475">
        <v>0.79</v>
      </c>
      <c r="E14" s="475">
        <v>0.21</v>
      </c>
      <c r="F14" s="477">
        <v>0</v>
      </c>
      <c r="G14" s="137"/>
      <c r="H14" s="130"/>
      <c r="I14" s="134"/>
      <c r="J14" s="136" t="s">
        <v>210</v>
      </c>
      <c r="M14" s="65"/>
      <c r="N14" s="71">
        <v>62536.200000000004</v>
      </c>
      <c r="Q14" s="65"/>
      <c r="R14" s="65"/>
      <c r="T14" s="65"/>
      <c r="U14" s="65"/>
      <c r="V14" s="72"/>
      <c r="W14" s="72"/>
      <c r="X14" s="72"/>
      <c r="Y14" s="72"/>
    </row>
    <row r="15" spans="1:25" s="71" customFormat="1" ht="13.5" thickTop="1">
      <c r="B15" s="133" t="s">
        <v>9</v>
      </c>
      <c r="C15" s="462"/>
      <c r="D15" s="475">
        <v>0.88500000000000001</v>
      </c>
      <c r="E15" s="475">
        <v>8.4000000000000005E-2</v>
      </c>
      <c r="F15" s="475">
        <v>3.1E-2</v>
      </c>
      <c r="G15" s="456"/>
      <c r="H15" s="130"/>
      <c r="I15" s="136"/>
      <c r="J15" s="132"/>
      <c r="M15" s="65"/>
      <c r="N15" s="71">
        <v>25014.48</v>
      </c>
      <c r="Q15" s="65"/>
      <c r="R15" s="65"/>
      <c r="T15" s="101"/>
      <c r="U15" s="101"/>
      <c r="V15" s="101"/>
      <c r="W15" s="72"/>
      <c r="X15" s="72"/>
      <c r="Y15" s="72"/>
    </row>
    <row r="16" spans="1:25" s="71" customFormat="1">
      <c r="B16" s="133" t="s">
        <v>208</v>
      </c>
      <c r="C16" s="462"/>
      <c r="D16" s="475">
        <v>0.03</v>
      </c>
      <c r="E16" s="475">
        <v>0.81</v>
      </c>
      <c r="F16" s="477">
        <v>0.16</v>
      </c>
      <c r="G16" s="137"/>
      <c r="H16" s="130"/>
      <c r="I16" s="136"/>
      <c r="J16" s="136"/>
      <c r="K16" s="3"/>
      <c r="M16" s="65"/>
      <c r="N16" s="71">
        <v>118818.78</v>
      </c>
      <c r="Q16" s="65"/>
      <c r="R16" s="65"/>
      <c r="T16" s="101"/>
      <c r="U16" s="101"/>
      <c r="V16" s="101"/>
      <c r="W16" s="72"/>
      <c r="X16" s="72"/>
      <c r="Y16" s="72"/>
    </row>
    <row r="17" spans="1:25" s="71" customFormat="1" ht="12" customHeight="1">
      <c r="B17" s="130" t="s">
        <v>10</v>
      </c>
      <c r="C17" s="462"/>
      <c r="D17" s="475">
        <v>0.89</v>
      </c>
      <c r="E17" s="475">
        <v>0.1</v>
      </c>
      <c r="F17" s="477">
        <v>0.01</v>
      </c>
      <c r="G17" s="137"/>
      <c r="H17" s="443" t="s">
        <v>313</v>
      </c>
      <c r="J17" s="136"/>
      <c r="M17" s="65"/>
      <c r="N17" s="71">
        <v>59757</v>
      </c>
      <c r="Q17" s="65"/>
      <c r="R17" s="65"/>
      <c r="T17" s="101"/>
      <c r="U17" s="101"/>
      <c r="V17" s="101"/>
      <c r="W17" s="72"/>
      <c r="X17" s="72"/>
      <c r="Y17" s="72"/>
    </row>
    <row r="18" spans="1:25" s="71" customFormat="1">
      <c r="B18" s="130" t="s">
        <v>70</v>
      </c>
      <c r="C18" s="463"/>
      <c r="D18" s="478">
        <v>0.80500000000000005</v>
      </c>
      <c r="E18" s="475">
        <v>0.185</v>
      </c>
      <c r="F18" s="477">
        <v>0.01</v>
      </c>
      <c r="G18" s="137"/>
      <c r="H18" s="130"/>
      <c r="M18" s="65"/>
      <c r="Q18" s="65"/>
      <c r="R18" s="65"/>
      <c r="T18" s="101"/>
      <c r="U18" s="101"/>
      <c r="V18" s="101"/>
      <c r="W18" s="72"/>
      <c r="X18" s="72"/>
      <c r="Y18" s="72"/>
    </row>
    <row r="19" spans="1:25" s="71" customFormat="1" ht="13.5" thickBot="1">
      <c r="B19" s="133" t="s">
        <v>8</v>
      </c>
      <c r="C19" s="464"/>
      <c r="D19" s="478">
        <v>0.96</v>
      </c>
      <c r="E19" s="475">
        <v>0.02</v>
      </c>
      <c r="F19" s="477">
        <v>0.02</v>
      </c>
      <c r="G19" s="137"/>
      <c r="H19" s="130"/>
      <c r="I19" s="129" t="s">
        <v>209</v>
      </c>
      <c r="J19" s="136"/>
      <c r="M19" s="65"/>
      <c r="Q19" s="65"/>
      <c r="R19" s="65"/>
      <c r="U19" s="101"/>
      <c r="V19" s="101"/>
      <c r="W19" s="72"/>
      <c r="X19" s="72"/>
      <c r="Y19" s="72"/>
    </row>
    <row r="20" spans="1:25" s="71" customFormat="1" ht="14.25" thickTop="1" thickBot="1">
      <c r="B20" s="133" t="s">
        <v>71</v>
      </c>
      <c r="C20" s="462"/>
      <c r="D20" s="475">
        <v>0.94</v>
      </c>
      <c r="E20" s="475">
        <v>0.04</v>
      </c>
      <c r="F20" s="477">
        <v>0.02</v>
      </c>
      <c r="G20" s="137"/>
      <c r="H20" s="130"/>
      <c r="I20" s="134"/>
      <c r="J20" s="136" t="s">
        <v>211</v>
      </c>
      <c r="K20" s="122"/>
      <c r="L20" s="96"/>
      <c r="M20" s="65"/>
      <c r="Q20" s="65"/>
      <c r="R20" s="65"/>
      <c r="U20" s="101"/>
      <c r="V20" s="101"/>
      <c r="W20" s="72"/>
      <c r="X20" s="72"/>
      <c r="Y20" s="72"/>
    </row>
    <row r="21" spans="1:25" s="71" customFormat="1" ht="14.25" thickTop="1" thickBot="1">
      <c r="B21" s="138" t="s">
        <v>11</v>
      </c>
      <c r="C21" s="465"/>
      <c r="D21" s="479">
        <v>0.5</v>
      </c>
      <c r="E21" s="479">
        <v>0.25</v>
      </c>
      <c r="F21" s="480">
        <v>0.25</v>
      </c>
      <c r="G21" s="137"/>
      <c r="H21" s="130"/>
      <c r="I21" s="130"/>
      <c r="J21" s="136"/>
      <c r="K21" s="93"/>
      <c r="L21" s="93"/>
      <c r="M21" s="65"/>
      <c r="Q21" s="65"/>
      <c r="R21" s="65"/>
      <c r="U21" s="101"/>
      <c r="V21" s="101"/>
      <c r="W21" s="72"/>
      <c r="X21" s="72"/>
      <c r="Y21" s="72"/>
    </row>
    <row r="22" spans="1:25" s="71" customFormat="1" ht="13.5" thickTop="1">
      <c r="B22" s="139" t="s">
        <v>302</v>
      </c>
      <c r="C22" s="466">
        <f>SUM(C13:C21)</f>
        <v>0</v>
      </c>
      <c r="D22" s="457"/>
      <c r="E22" s="140"/>
      <c r="F22" s="457"/>
      <c r="G22" s="141"/>
      <c r="H22" s="130"/>
      <c r="I22" s="130"/>
      <c r="J22" s="136"/>
      <c r="K22" s="93"/>
      <c r="L22" s="94"/>
      <c r="M22" s="65"/>
      <c r="Q22" s="65"/>
      <c r="R22" s="65"/>
      <c r="U22" s="101"/>
      <c r="V22" s="101"/>
      <c r="W22" s="72"/>
      <c r="X22" s="72"/>
      <c r="Y22" s="72"/>
    </row>
    <row r="23" spans="1:25" s="71" customFormat="1">
      <c r="B23" s="130"/>
      <c r="C23" s="38"/>
      <c r="F23" s="65"/>
      <c r="G23" s="65"/>
      <c r="H23" s="65"/>
      <c r="I23" s="65"/>
      <c r="J23" s="93"/>
      <c r="K23" s="93"/>
      <c r="L23" s="94"/>
      <c r="M23" s="65"/>
      <c r="Q23" s="65"/>
      <c r="R23" s="65"/>
      <c r="U23" s="101"/>
      <c r="V23" s="101"/>
      <c r="W23" s="72"/>
      <c r="X23" s="72"/>
      <c r="Y23" s="72"/>
    </row>
    <row r="24" spans="1:25" s="71" customFormat="1">
      <c r="E24" s="65"/>
      <c r="F24" s="65"/>
      <c r="G24" s="65"/>
      <c r="H24" s="65"/>
      <c r="I24" s="65"/>
      <c r="J24" s="65"/>
      <c r="K24" s="65"/>
      <c r="L24" s="65"/>
      <c r="M24" s="65"/>
      <c r="N24" s="65"/>
      <c r="O24" s="65"/>
      <c r="P24" s="65"/>
      <c r="Q24" s="65"/>
      <c r="R24" s="65"/>
      <c r="S24" s="65"/>
      <c r="U24" s="65"/>
      <c r="V24" s="72"/>
      <c r="W24" s="72"/>
      <c r="X24" s="72"/>
      <c r="Y24" s="72"/>
    </row>
    <row r="25" spans="1:25" s="71" customFormat="1">
      <c r="C25" s="2"/>
      <c r="E25" s="65"/>
      <c r="F25" s="65"/>
      <c r="G25" s="65"/>
      <c r="H25" s="65"/>
      <c r="I25" s="65"/>
      <c r="J25" s="65"/>
      <c r="K25" s="65"/>
      <c r="L25" s="65"/>
      <c r="M25" s="65"/>
      <c r="N25" s="65"/>
      <c r="O25" s="65"/>
      <c r="P25" s="65"/>
      <c r="Q25" s="65"/>
      <c r="R25" s="65"/>
      <c r="S25" s="65"/>
      <c r="U25" s="65"/>
      <c r="V25" s="72"/>
      <c r="W25" s="72"/>
      <c r="X25" s="72"/>
      <c r="Y25" s="72"/>
    </row>
    <row r="26" spans="1:25" s="71" customFormat="1">
      <c r="C26" s="2"/>
      <c r="D26" s="65"/>
      <c r="E26" s="65"/>
      <c r="F26" s="65"/>
      <c r="G26" s="65"/>
      <c r="H26" s="65"/>
      <c r="I26" s="65"/>
      <c r="J26" s="65"/>
      <c r="K26" s="65"/>
      <c r="L26" s="65"/>
      <c r="M26" s="65"/>
      <c r="N26" s="65"/>
      <c r="O26" s="65"/>
      <c r="P26" s="65"/>
      <c r="Q26" s="65"/>
      <c r="R26" s="65"/>
      <c r="S26" s="65"/>
      <c r="U26" s="65"/>
      <c r="V26" s="72"/>
      <c r="W26" s="72"/>
      <c r="X26" s="72"/>
      <c r="Y26" s="72"/>
    </row>
    <row r="27" spans="1:25" s="71" customFormat="1" ht="13.5" thickBot="1">
      <c r="C27" s="2"/>
      <c r="D27" s="65"/>
      <c r="E27" s="65"/>
      <c r="F27" s="65"/>
      <c r="G27" s="65"/>
      <c r="H27" s="65"/>
      <c r="I27" s="65"/>
      <c r="J27" s="65"/>
      <c r="K27" s="65"/>
      <c r="L27" s="65"/>
      <c r="M27" s="65"/>
      <c r="N27" s="65"/>
      <c r="O27" s="65"/>
      <c r="P27" s="65"/>
      <c r="Q27" s="65"/>
      <c r="R27" s="65"/>
      <c r="S27" s="65"/>
      <c r="T27" s="65"/>
      <c r="U27" s="65"/>
      <c r="V27" s="72"/>
      <c r="W27" s="72"/>
      <c r="X27" s="72"/>
      <c r="Y27" s="72"/>
    </row>
    <row r="28" spans="1:25" s="71" customFormat="1" ht="14.25" thickTop="1" thickBot="1">
      <c r="C28" s="134"/>
      <c r="D28" s="130" t="s">
        <v>316</v>
      </c>
      <c r="E28" s="65"/>
      <c r="F28" s="65"/>
      <c r="G28" s="65"/>
      <c r="H28" s="65"/>
      <c r="I28" s="65"/>
      <c r="J28" s="65"/>
      <c r="K28" s="65"/>
      <c r="L28" s="65"/>
      <c r="M28" s="65"/>
      <c r="N28" s="65"/>
      <c r="O28" s="65"/>
      <c r="P28" s="65"/>
      <c r="Q28" s="65"/>
      <c r="R28" s="65"/>
      <c r="S28" s="65"/>
      <c r="T28" s="65"/>
      <c r="U28" s="65"/>
      <c r="V28" s="72"/>
      <c r="W28" s="72"/>
      <c r="X28" s="72"/>
      <c r="Y28" s="72"/>
    </row>
    <row r="29" spans="1:25" s="71" customFormat="1" ht="13.5" thickTop="1">
      <c r="C29" s="2"/>
      <c r="D29" s="454"/>
      <c r="E29" s="65"/>
      <c r="F29" s="65"/>
      <c r="G29" s="65"/>
      <c r="H29" s="65"/>
      <c r="I29" s="65"/>
      <c r="J29" s="65"/>
      <c r="K29" s="65"/>
      <c r="L29" s="65"/>
      <c r="M29" s="65"/>
      <c r="N29" s="65"/>
      <c r="O29" s="65"/>
      <c r="P29" s="65"/>
      <c r="Q29" s="65"/>
      <c r="R29" s="65"/>
      <c r="S29" s="65"/>
      <c r="T29" s="65"/>
      <c r="U29" s="65"/>
      <c r="V29" s="72"/>
      <c r="W29" s="72"/>
      <c r="X29" s="72"/>
      <c r="Y29" s="72"/>
    </row>
    <row r="30" spans="1:25" s="71" customFormat="1">
      <c r="A30" s="75"/>
      <c r="B30" s="75"/>
      <c r="C30" s="75"/>
      <c r="D30" s="65"/>
      <c r="E30" s="65"/>
      <c r="F30" s="65"/>
      <c r="G30" s="65"/>
      <c r="H30" s="65"/>
      <c r="I30" s="65"/>
      <c r="J30" s="65"/>
      <c r="K30" s="65"/>
      <c r="L30" s="65"/>
      <c r="M30" s="65"/>
      <c r="N30" s="65"/>
      <c r="O30" s="65"/>
      <c r="P30" s="65"/>
      <c r="Q30" s="65"/>
      <c r="R30" s="65"/>
      <c r="S30" s="65"/>
      <c r="T30" s="65"/>
      <c r="U30" s="65"/>
      <c r="V30" s="72"/>
      <c r="W30" s="72"/>
      <c r="X30" s="72"/>
      <c r="Y30" s="72"/>
    </row>
    <row r="31" spans="1:25" s="71" customFormat="1">
      <c r="A31" s="75"/>
      <c r="B31" s="75"/>
      <c r="C31" s="75"/>
      <c r="D31" s="65"/>
      <c r="E31" s="65"/>
      <c r="F31" s="65"/>
      <c r="G31" s="65"/>
      <c r="H31" s="65"/>
      <c r="I31" s="65"/>
      <c r="J31" s="65"/>
      <c r="K31" s="65"/>
      <c r="L31" s="65"/>
      <c r="M31" s="65"/>
      <c r="N31" s="65"/>
      <c r="O31" s="65"/>
      <c r="P31" s="65"/>
      <c r="Q31" s="65"/>
      <c r="R31" s="65"/>
      <c r="S31" s="65"/>
      <c r="T31" s="65"/>
      <c r="U31" s="65"/>
      <c r="V31" s="72"/>
      <c r="W31" s="72"/>
      <c r="X31" s="72"/>
      <c r="Y31" s="72"/>
    </row>
    <row r="32" spans="1:25" s="71" customFormat="1">
      <c r="A32" s="81"/>
      <c r="B32" s="81"/>
      <c r="C32" s="74"/>
      <c r="D32" s="65"/>
      <c r="E32" s="65"/>
      <c r="F32" s="65"/>
      <c r="G32" s="65"/>
      <c r="H32" s="65"/>
      <c r="I32" s="65"/>
      <c r="J32" s="65"/>
      <c r="K32" s="65"/>
      <c r="L32" s="65"/>
      <c r="M32" s="65"/>
      <c r="N32" s="65"/>
      <c r="O32" s="65"/>
      <c r="P32" s="65"/>
      <c r="Q32" s="65"/>
      <c r="R32" s="65"/>
      <c r="S32" s="65"/>
      <c r="T32" s="65"/>
      <c r="U32" s="65"/>
      <c r="V32" s="72"/>
      <c r="W32" s="72"/>
      <c r="X32" s="72"/>
      <c r="Y32" s="72"/>
    </row>
    <row r="33" spans="1:25" s="71" customFormat="1">
      <c r="A33" s="82"/>
      <c r="B33" s="83"/>
      <c r="C33" s="65"/>
      <c r="D33" s="65"/>
      <c r="E33" s="65"/>
      <c r="F33" s="65"/>
      <c r="G33" s="65"/>
      <c r="H33" s="65"/>
      <c r="I33" s="65"/>
      <c r="J33" s="65"/>
      <c r="K33" s="65"/>
      <c r="L33" s="65"/>
      <c r="M33" s="65"/>
      <c r="N33" s="65"/>
      <c r="O33" s="65"/>
      <c r="P33" s="65"/>
      <c r="Q33" s="65"/>
      <c r="R33" s="65"/>
      <c r="S33" s="65"/>
      <c r="T33" s="65"/>
      <c r="U33" s="65"/>
      <c r="V33" s="72"/>
      <c r="W33" s="72"/>
      <c r="X33" s="72"/>
      <c r="Y33" s="72"/>
    </row>
    <row r="34" spans="1:25" s="71" customFormat="1">
      <c r="A34" s="82"/>
      <c r="B34" s="83"/>
      <c r="C34" s="65"/>
      <c r="D34" s="65"/>
      <c r="E34" s="65"/>
      <c r="F34" s="65"/>
      <c r="G34" s="65"/>
      <c r="H34" s="65"/>
      <c r="I34" s="65"/>
      <c r="J34" s="65"/>
      <c r="K34" s="65"/>
      <c r="L34" s="65"/>
      <c r="M34" s="65"/>
      <c r="N34" s="65"/>
      <c r="O34" s="65"/>
      <c r="P34" s="65"/>
      <c r="Q34" s="65"/>
      <c r="R34" s="65"/>
      <c r="S34" s="65"/>
      <c r="T34" s="65"/>
      <c r="U34" s="65"/>
      <c r="V34" s="72"/>
      <c r="W34" s="72"/>
      <c r="X34" s="72"/>
      <c r="Y34" s="72"/>
    </row>
    <row r="35" spans="1:25" s="71" customFormat="1">
      <c r="A35" s="82"/>
      <c r="B35" s="84"/>
      <c r="C35" s="65"/>
      <c r="D35" s="65"/>
      <c r="E35" s="65"/>
      <c r="F35" s="65"/>
      <c r="G35" s="65"/>
      <c r="H35" s="65"/>
      <c r="I35" s="65"/>
      <c r="J35" s="65"/>
      <c r="K35" s="65"/>
      <c r="L35" s="65"/>
      <c r="M35" s="65"/>
      <c r="N35" s="65"/>
      <c r="O35" s="65"/>
      <c r="P35" s="65"/>
      <c r="Q35" s="65"/>
      <c r="R35" s="65"/>
      <c r="S35" s="65"/>
      <c r="T35" s="65"/>
      <c r="U35" s="65"/>
      <c r="V35" s="72"/>
      <c r="W35" s="72"/>
      <c r="X35" s="72"/>
      <c r="Y35" s="72"/>
    </row>
    <row r="36" spans="1:25" s="71" customFormat="1">
      <c r="A36" s="82"/>
      <c r="B36" s="84"/>
      <c r="C36" s="65"/>
      <c r="D36" s="65"/>
      <c r="E36" s="65"/>
      <c r="F36" s="65"/>
      <c r="G36" s="65"/>
      <c r="H36" s="65"/>
      <c r="I36" s="65"/>
      <c r="J36" s="65"/>
      <c r="K36" s="65"/>
      <c r="L36" s="65"/>
      <c r="M36" s="65"/>
      <c r="N36" s="65"/>
      <c r="O36" s="65"/>
      <c r="P36" s="65"/>
      <c r="Q36" s="65"/>
      <c r="R36" s="65"/>
      <c r="S36" s="65"/>
      <c r="T36" s="65"/>
      <c r="U36" s="65"/>
      <c r="V36" s="72"/>
      <c r="W36" s="72"/>
      <c r="X36" s="72"/>
      <c r="Y36" s="72"/>
    </row>
    <row r="37" spans="1:25" s="71" customFormat="1">
      <c r="A37" s="82"/>
      <c r="B37" s="85"/>
      <c r="C37" s="65"/>
      <c r="D37" s="65"/>
      <c r="E37" s="65"/>
      <c r="F37" s="65"/>
      <c r="G37" s="65"/>
      <c r="H37" s="65"/>
      <c r="I37" s="65"/>
      <c r="J37" s="65"/>
      <c r="K37" s="65"/>
      <c r="L37" s="65"/>
      <c r="M37" s="65"/>
      <c r="N37" s="65"/>
      <c r="O37" s="65"/>
      <c r="P37" s="65"/>
      <c r="Q37" s="65"/>
      <c r="R37" s="65"/>
      <c r="S37" s="65"/>
      <c r="T37" s="65"/>
      <c r="U37" s="65"/>
      <c r="V37" s="72"/>
      <c r="W37" s="72"/>
      <c r="X37" s="72"/>
      <c r="Y37" s="72"/>
    </row>
    <row r="38" spans="1:25" s="71" customFormat="1">
      <c r="A38" s="86"/>
      <c r="B38" s="65"/>
      <c r="C38" s="65"/>
      <c r="D38" s="65"/>
      <c r="E38" s="65"/>
      <c r="F38" s="65"/>
      <c r="G38" s="65"/>
      <c r="H38" s="65"/>
      <c r="I38" s="65"/>
      <c r="J38" s="65"/>
      <c r="K38" s="65"/>
      <c r="L38" s="65"/>
      <c r="M38" s="65"/>
      <c r="N38" s="65"/>
      <c r="O38" s="65"/>
      <c r="P38" s="65"/>
      <c r="Q38" s="65"/>
      <c r="R38" s="65"/>
      <c r="S38" s="65"/>
      <c r="T38" s="65"/>
      <c r="U38" s="65"/>
      <c r="V38" s="72"/>
      <c r="W38" s="72"/>
      <c r="X38" s="72"/>
      <c r="Y38" s="72"/>
    </row>
    <row r="39" spans="1:25" s="71" customFormat="1">
      <c r="A39" s="65"/>
      <c r="B39" s="65"/>
      <c r="C39" s="76"/>
      <c r="D39" s="65"/>
      <c r="E39" s="65"/>
      <c r="F39" s="65"/>
      <c r="G39" s="65"/>
      <c r="H39" s="65"/>
      <c r="I39" s="65"/>
      <c r="J39" s="65"/>
      <c r="K39" s="65"/>
      <c r="L39" s="65"/>
      <c r="M39" s="65"/>
      <c r="N39" s="65"/>
      <c r="O39" s="65"/>
      <c r="P39" s="65"/>
      <c r="Q39" s="65"/>
      <c r="R39" s="65"/>
      <c r="S39" s="65"/>
      <c r="T39" s="65"/>
      <c r="U39" s="65"/>
      <c r="V39" s="72"/>
      <c r="W39" s="72"/>
      <c r="X39" s="72"/>
      <c r="Y39" s="72"/>
    </row>
    <row r="40" spans="1:25" s="71" customFormat="1">
      <c r="A40" s="74"/>
      <c r="B40" s="74"/>
      <c r="C40" s="65"/>
      <c r="D40" s="65"/>
      <c r="E40" s="65"/>
      <c r="F40" s="65"/>
      <c r="G40" s="65"/>
      <c r="H40" s="65"/>
      <c r="I40" s="65"/>
      <c r="J40" s="65"/>
      <c r="K40" s="65"/>
      <c r="L40" s="65"/>
      <c r="M40" s="65"/>
      <c r="N40" s="65"/>
      <c r="O40" s="65"/>
      <c r="P40" s="65"/>
      <c r="Q40" s="65"/>
      <c r="R40" s="65"/>
      <c r="S40" s="65"/>
      <c r="T40" s="65"/>
      <c r="U40" s="65"/>
      <c r="V40" s="72"/>
      <c r="W40" s="72"/>
      <c r="X40" s="72"/>
      <c r="Y40" s="72"/>
    </row>
    <row r="41" spans="1:25" s="71" customFormat="1">
      <c r="A41" s="74"/>
      <c r="B41" s="79"/>
      <c r="C41" s="65"/>
      <c r="D41" s="65"/>
      <c r="E41" s="65"/>
      <c r="F41" s="65"/>
      <c r="G41" s="65"/>
      <c r="H41" s="65"/>
      <c r="I41" s="65"/>
      <c r="J41" s="65"/>
      <c r="K41" s="65"/>
      <c r="L41" s="65"/>
      <c r="M41" s="65"/>
      <c r="N41" s="65"/>
      <c r="O41" s="65"/>
      <c r="P41" s="65"/>
      <c r="Q41" s="65"/>
      <c r="R41" s="65"/>
      <c r="S41" s="65"/>
      <c r="T41" s="65"/>
      <c r="U41" s="65"/>
      <c r="V41" s="72"/>
      <c r="W41" s="72"/>
      <c r="X41" s="72"/>
      <c r="Y41" s="72"/>
    </row>
    <row r="42" spans="1:25" s="71" customFormat="1">
      <c r="A42" s="65"/>
      <c r="B42" s="80"/>
      <c r="C42" s="65"/>
      <c r="D42" s="65"/>
      <c r="E42" s="65"/>
      <c r="F42" s="65"/>
      <c r="G42" s="65"/>
      <c r="H42" s="65"/>
      <c r="I42" s="65"/>
      <c r="J42" s="65"/>
      <c r="K42" s="65"/>
      <c r="L42" s="65"/>
      <c r="M42" s="65"/>
      <c r="N42" s="65"/>
      <c r="O42" s="65"/>
      <c r="P42" s="65"/>
      <c r="Q42" s="65"/>
      <c r="R42" s="65"/>
      <c r="S42" s="65"/>
      <c r="T42" s="65"/>
      <c r="U42" s="65"/>
      <c r="V42" s="72"/>
      <c r="W42" s="72"/>
      <c r="X42" s="72"/>
      <c r="Y42" s="72"/>
    </row>
    <row r="43" spans="1:25" s="71" customFormat="1">
      <c r="A43" s="65"/>
      <c r="B43" s="80"/>
      <c r="C43" s="65"/>
      <c r="D43" s="65"/>
      <c r="E43" s="65"/>
      <c r="F43" s="65"/>
      <c r="G43" s="65"/>
      <c r="H43" s="65"/>
      <c r="I43" s="65"/>
      <c r="J43" s="65"/>
      <c r="K43" s="65"/>
      <c r="L43" s="65"/>
      <c r="M43" s="65"/>
      <c r="N43" s="65"/>
      <c r="O43" s="65"/>
      <c r="P43" s="65"/>
      <c r="Q43" s="65"/>
      <c r="R43" s="65"/>
      <c r="S43" s="65"/>
      <c r="T43" s="65"/>
      <c r="U43" s="65"/>
      <c r="V43" s="72"/>
      <c r="W43" s="72"/>
      <c r="X43" s="72"/>
      <c r="Y43" s="72"/>
    </row>
    <row r="44" spans="1:25" s="71" customFormat="1">
      <c r="A44" s="65"/>
      <c r="B44" s="65"/>
      <c r="C44" s="65"/>
      <c r="D44" s="65"/>
      <c r="E44" s="65"/>
      <c r="F44" s="65"/>
      <c r="G44" s="65"/>
      <c r="H44" s="65"/>
      <c r="I44" s="65"/>
      <c r="J44" s="65"/>
      <c r="K44" s="65"/>
      <c r="L44" s="65"/>
      <c r="M44" s="65"/>
      <c r="N44" s="65"/>
      <c r="O44" s="65"/>
      <c r="P44" s="65"/>
      <c r="Q44" s="65"/>
      <c r="R44" s="65"/>
      <c r="S44" s="65"/>
      <c r="T44" s="65"/>
      <c r="U44" s="65"/>
      <c r="V44" s="72"/>
      <c r="W44" s="72"/>
      <c r="X44" s="72"/>
      <c r="Y44" s="72"/>
    </row>
    <row r="45" spans="1:25" s="71" customFormat="1">
      <c r="A45" s="65"/>
      <c r="B45" s="65"/>
      <c r="C45" s="65"/>
      <c r="D45" s="65"/>
      <c r="E45" s="65"/>
      <c r="F45" s="65"/>
      <c r="G45" s="65"/>
      <c r="H45" s="65"/>
      <c r="I45" s="65"/>
      <c r="J45" s="65"/>
      <c r="K45" s="65"/>
      <c r="L45"/>
      <c r="M45" s="65"/>
      <c r="N45" s="65"/>
      <c r="O45"/>
      <c r="P45" s="65"/>
      <c r="Q45" s="65"/>
      <c r="R45" s="65"/>
      <c r="S45" s="65"/>
      <c r="T45" s="65"/>
      <c r="U45" s="65"/>
      <c r="V45" s="72"/>
      <c r="W45" s="72"/>
      <c r="X45" s="72"/>
      <c r="Y45" s="72"/>
    </row>
    <row r="46" spans="1:25" s="71" customFormat="1">
      <c r="A46" s="65"/>
      <c r="B46" s="65"/>
      <c r="C46" s="65"/>
      <c r="D46" s="65"/>
      <c r="E46" s="65"/>
      <c r="F46" s="65"/>
      <c r="G46" s="65"/>
      <c r="L46" s="74"/>
      <c r="M46" s="65"/>
      <c r="P46" s="65"/>
      <c r="Q46" s="65"/>
      <c r="R46" s="65"/>
      <c r="S46" s="65"/>
      <c r="T46" s="65"/>
      <c r="U46" s="65"/>
      <c r="V46" s="72"/>
      <c r="W46" s="72"/>
      <c r="X46" s="72"/>
      <c r="Y46" s="72"/>
    </row>
    <row r="47" spans="1:25" s="71" customFormat="1">
      <c r="A47" s="65"/>
      <c r="B47" s="65"/>
      <c r="C47" s="65"/>
      <c r="D47" s="65"/>
      <c r="E47" s="65"/>
      <c r="F47" s="65"/>
      <c r="G47" s="65"/>
      <c r="L47" s="77"/>
      <c r="M47" s="65"/>
      <c r="N47" s="65"/>
      <c r="O47" s="65"/>
      <c r="P47" s="65"/>
      <c r="Q47" s="65"/>
      <c r="R47" s="65"/>
      <c r="S47" s="65"/>
      <c r="T47" s="65"/>
      <c r="U47" s="65"/>
      <c r="V47" s="72"/>
      <c r="W47" s="72"/>
      <c r="X47" s="72"/>
      <c r="Y47" s="72"/>
    </row>
    <row r="48" spans="1:25" s="71" customFormat="1">
      <c r="A48" s="65"/>
      <c r="B48" s="65"/>
      <c r="C48" s="65"/>
      <c r="D48" s="65"/>
      <c r="E48" s="65"/>
      <c r="F48" s="65"/>
      <c r="G48" s="65"/>
      <c r="O48" s="65"/>
      <c r="P48" s="65"/>
      <c r="Q48" s="65"/>
      <c r="R48" s="65"/>
      <c r="S48" s="65"/>
      <c r="T48" s="65"/>
      <c r="U48" s="65"/>
      <c r="V48" s="72"/>
      <c r="W48" s="72"/>
      <c r="X48" s="72"/>
      <c r="Y48" s="72"/>
    </row>
    <row r="49" spans="1:25" s="71" customFormat="1">
      <c r="A49" s="65"/>
      <c r="B49" s="65"/>
      <c r="C49" s="65"/>
      <c r="D49" s="65"/>
      <c r="E49" s="65"/>
      <c r="F49" s="65"/>
      <c r="G49" s="65"/>
      <c r="O49" s="65"/>
      <c r="P49" s="65"/>
      <c r="Q49" s="65"/>
      <c r="R49" s="65"/>
      <c r="S49" s="65"/>
      <c r="T49" s="65"/>
      <c r="U49" s="65"/>
      <c r="V49" s="72"/>
      <c r="W49" s="72"/>
      <c r="X49" s="72"/>
      <c r="Y49" s="72"/>
    </row>
    <row r="50" spans="1:25" s="71" customFormat="1">
      <c r="A50" s="65"/>
      <c r="B50" s="65"/>
      <c r="C50" s="65"/>
      <c r="D50" s="65"/>
      <c r="E50" s="65"/>
      <c r="F50" s="65"/>
      <c r="G50" s="65"/>
      <c r="H50"/>
      <c r="I50" s="65"/>
      <c r="J50" s="65"/>
      <c r="K50" s="65"/>
      <c r="L50" s="65"/>
      <c r="M50" s="65"/>
      <c r="N50" s="65"/>
      <c r="O50" s="65"/>
      <c r="P50" s="65"/>
      <c r="Q50" s="65"/>
      <c r="R50" s="65"/>
      <c r="S50" s="65"/>
      <c r="T50" s="65"/>
      <c r="U50" s="65"/>
      <c r="V50" s="72"/>
      <c r="W50" s="72"/>
      <c r="X50" s="72"/>
      <c r="Y50" s="72"/>
    </row>
    <row r="51" spans="1:25" s="71" customFormat="1">
      <c r="A51" s="65"/>
      <c r="B51" s="65"/>
      <c r="C51" s="65"/>
      <c r="D51" s="65"/>
      <c r="E51" s="65"/>
      <c r="F51" s="65"/>
      <c r="G51" s="65"/>
      <c r="H51" s="65"/>
      <c r="I51" s="65"/>
      <c r="J51" s="65"/>
      <c r="K51" s="65"/>
      <c r="L51" s="65"/>
      <c r="M51" s="65"/>
      <c r="N51" s="65"/>
      <c r="O51" s="65"/>
      <c r="P51" s="65"/>
      <c r="Q51" s="65"/>
      <c r="R51" s="65"/>
      <c r="S51" s="65"/>
      <c r="T51" s="65"/>
      <c r="U51" s="65"/>
      <c r="V51" s="72"/>
      <c r="W51" s="72"/>
      <c r="X51" s="72"/>
      <c r="Y51" s="72"/>
    </row>
    <row r="52" spans="1:25" s="71" customFormat="1">
      <c r="A52" s="65"/>
      <c r="B52" s="65"/>
      <c r="C52" s="65"/>
      <c r="D52" s="74"/>
      <c r="E52" s="65"/>
      <c r="F52" s="65"/>
      <c r="G52" s="65"/>
      <c r="H52" s="65"/>
      <c r="I52" s="65"/>
      <c r="J52" s="65"/>
      <c r="K52" s="65"/>
      <c r="L52" s="65"/>
      <c r="M52" s="65"/>
      <c r="N52" s="65"/>
      <c r="O52" s="65"/>
      <c r="P52" s="65"/>
      <c r="Q52" s="65"/>
      <c r="R52" s="65"/>
      <c r="S52" s="65"/>
      <c r="T52" s="65"/>
      <c r="U52" s="65"/>
      <c r="V52" s="72"/>
      <c r="W52" s="72"/>
      <c r="X52" s="72"/>
      <c r="Y52" s="72"/>
    </row>
    <row r="53" spans="1:25" s="71" customFormat="1">
      <c r="A53" s="65"/>
      <c r="B53" s="65"/>
      <c r="C53" s="65"/>
      <c r="D53" s="65"/>
      <c r="E53" s="65"/>
      <c r="F53" s="65"/>
      <c r="G53" s="65"/>
      <c r="H53" s="65"/>
      <c r="I53" s="65"/>
      <c r="J53" s="65"/>
      <c r="K53" s="65"/>
      <c r="L53" s="65"/>
      <c r="M53" s="65"/>
      <c r="N53" s="65"/>
      <c r="O53" s="65"/>
      <c r="P53" s="65"/>
      <c r="Q53" s="65"/>
      <c r="R53" s="65"/>
      <c r="S53" s="65"/>
      <c r="T53" s="65"/>
      <c r="U53" s="65"/>
      <c r="V53" s="72"/>
      <c r="W53" s="72"/>
      <c r="X53" s="72"/>
      <c r="Y53" s="72"/>
    </row>
    <row r="54" spans="1:25" s="71" customFormat="1">
      <c r="A54" s="65"/>
      <c r="B54" s="65"/>
      <c r="C54" s="65"/>
      <c r="D54" s="65"/>
      <c r="E54" s="65"/>
      <c r="F54" s="65"/>
      <c r="G54" s="65"/>
      <c r="H54" s="65"/>
      <c r="I54" s="65"/>
      <c r="J54" s="65"/>
      <c r="K54" s="65"/>
      <c r="L54" s="65"/>
      <c r="M54" s="65"/>
      <c r="N54" s="65"/>
      <c r="O54" s="65"/>
      <c r="P54" s="65"/>
      <c r="Q54" s="65"/>
      <c r="R54" s="65"/>
      <c r="S54" s="65"/>
      <c r="T54" s="65"/>
      <c r="U54" s="65"/>
      <c r="V54" s="72"/>
      <c r="W54" s="72"/>
      <c r="X54" s="72"/>
      <c r="Y54" s="72"/>
    </row>
    <row r="55" spans="1:25" s="71" customFormat="1">
      <c r="A55" s="65"/>
      <c r="F55" s="65"/>
      <c r="G55" s="65"/>
      <c r="H55" s="65"/>
      <c r="I55" s="65"/>
      <c r="J55" s="65"/>
      <c r="K55" s="65"/>
      <c r="L55" s="65"/>
      <c r="M55" s="65"/>
      <c r="N55" s="65"/>
      <c r="O55" s="65"/>
      <c r="P55" s="65"/>
      <c r="Q55" s="65"/>
      <c r="R55" s="65"/>
      <c r="S55" s="65"/>
      <c r="T55" s="65"/>
      <c r="U55" s="65"/>
      <c r="V55" s="72"/>
      <c r="W55" s="72"/>
      <c r="X55" s="72"/>
      <c r="Y55" s="72"/>
    </row>
    <row r="56" spans="1:25" s="71" customFormat="1">
      <c r="A56" s="65"/>
      <c r="F56" s="65"/>
      <c r="G56" s="65"/>
      <c r="H56" s="65"/>
      <c r="I56" s="65"/>
      <c r="J56" s="65"/>
      <c r="K56" s="65"/>
      <c r="L56" s="65"/>
      <c r="M56" s="65"/>
      <c r="N56" s="65"/>
      <c r="O56" s="65"/>
      <c r="P56" s="65"/>
      <c r="Q56" s="65"/>
      <c r="R56" s="65"/>
      <c r="S56" s="65"/>
      <c r="T56" s="65"/>
      <c r="U56" s="65"/>
      <c r="V56" s="72"/>
      <c r="W56" s="72"/>
      <c r="X56" s="72"/>
      <c r="Y56" s="72"/>
    </row>
    <row r="57" spans="1:25" s="71" customFormat="1">
      <c r="A57" s="65"/>
      <c r="F57" s="65"/>
      <c r="G57" s="65"/>
      <c r="H57" s="65"/>
      <c r="I57" s="65"/>
      <c r="J57" s="65"/>
      <c r="K57" s="65"/>
      <c r="L57" s="65"/>
      <c r="M57" s="65"/>
      <c r="N57" s="65"/>
      <c r="O57" s="65"/>
      <c r="P57" s="65"/>
      <c r="Q57" s="65"/>
      <c r="R57" s="65"/>
      <c r="S57" s="65"/>
      <c r="T57" s="65"/>
      <c r="U57" s="65"/>
      <c r="V57" s="72"/>
      <c r="W57" s="72"/>
      <c r="X57" s="72"/>
      <c r="Y57" s="72"/>
    </row>
    <row r="58" spans="1:25" s="71" customFormat="1" ht="15.75">
      <c r="A58" s="65"/>
      <c r="G58" s="65"/>
      <c r="H58" s="499" t="s">
        <v>271</v>
      </c>
      <c r="I58" s="499"/>
      <c r="J58" s="498" t="s">
        <v>254</v>
      </c>
      <c r="K58" s="498"/>
      <c r="L58" s="498"/>
      <c r="M58" s="468" t="s">
        <v>310</v>
      </c>
      <c r="N58" s="467"/>
      <c r="O58" s="65"/>
      <c r="P58" s="65"/>
      <c r="Q58" s="65"/>
      <c r="R58" s="65"/>
      <c r="S58" s="65"/>
      <c r="T58" s="65"/>
      <c r="U58" s="65"/>
      <c r="V58" s="72"/>
      <c r="W58" s="72"/>
      <c r="X58" s="72"/>
      <c r="Y58" s="72"/>
    </row>
    <row r="59" spans="1:25" s="71" customFormat="1" ht="14.25">
      <c r="A59" s="65"/>
      <c r="F59" s="65"/>
      <c r="G59" s="65"/>
      <c r="H59" s="469">
        <f>-Rekensheet!C99*0.07936</f>
        <v>0</v>
      </c>
      <c r="I59" s="470" t="s">
        <v>272</v>
      </c>
      <c r="J59" s="469">
        <f>47619.047*-Rekensheet!C99</f>
        <v>0</v>
      </c>
      <c r="K59" s="471" t="s">
        <v>255</v>
      </c>
      <c r="L59" s="472"/>
      <c r="M59" s="473">
        <f>93.2835*-Rekensheet!C99</f>
        <v>0</v>
      </c>
      <c r="N59" s="471" t="s">
        <v>14</v>
      </c>
      <c r="O59" s="65"/>
      <c r="P59" s="65"/>
      <c r="Q59" s="65"/>
      <c r="R59" s="65"/>
      <c r="S59" s="65"/>
      <c r="T59" s="65"/>
      <c r="U59" s="65"/>
      <c r="V59" s="72"/>
      <c r="W59" s="72"/>
      <c r="X59" s="72"/>
      <c r="Y59" s="72"/>
    </row>
    <row r="60" spans="1:25" s="71" customFormat="1">
      <c r="A60" s="65"/>
      <c r="F60" s="65"/>
      <c r="G60" s="65"/>
      <c r="H60" s="65"/>
      <c r="I60" s="65"/>
      <c r="J60" s="65"/>
      <c r="K60" s="65"/>
      <c r="L60" s="65"/>
      <c r="M60" s="65"/>
      <c r="N60" s="65"/>
      <c r="O60" s="65"/>
      <c r="P60" s="65"/>
      <c r="Q60" s="65"/>
      <c r="R60" s="65"/>
      <c r="S60" s="65"/>
      <c r="T60" s="65"/>
      <c r="U60" s="65"/>
      <c r="V60" s="72"/>
      <c r="W60" s="72"/>
      <c r="X60" s="72"/>
      <c r="Y60" s="72"/>
    </row>
    <row r="61" spans="1:25" s="71" customFormat="1">
      <c r="A61" s="65"/>
      <c r="F61" s="65"/>
      <c r="G61" s="65"/>
      <c r="H61" s="65"/>
      <c r="I61" s="65"/>
      <c r="J61" s="65"/>
      <c r="K61" s="65"/>
      <c r="L61" s="65"/>
      <c r="M61" s="65"/>
      <c r="N61" s="65"/>
      <c r="O61" s="65"/>
      <c r="P61" s="65"/>
      <c r="Q61" s="65"/>
      <c r="R61" s="65"/>
      <c r="S61" s="65"/>
      <c r="T61" s="65"/>
      <c r="U61" s="65"/>
      <c r="V61" s="72"/>
      <c r="W61" s="72"/>
      <c r="X61" s="72"/>
      <c r="Y61" s="72"/>
    </row>
    <row r="62" spans="1:25" s="71" customFormat="1">
      <c r="A62" s="65"/>
      <c r="F62" s="65"/>
      <c r="G62" s="65"/>
      <c r="H62" s="65"/>
      <c r="I62" s="65"/>
      <c r="J62" s="65"/>
      <c r="K62" s="65"/>
      <c r="L62" s="65"/>
      <c r="M62" s="65"/>
      <c r="N62" s="65"/>
      <c r="O62" s="65"/>
      <c r="P62" s="65"/>
      <c r="Q62" s="65"/>
      <c r="R62" s="65"/>
      <c r="S62" s="65"/>
      <c r="T62" s="65"/>
      <c r="U62" s="65"/>
      <c r="V62" s="72"/>
      <c r="W62" s="72"/>
      <c r="X62" s="72"/>
      <c r="Y62" s="72"/>
    </row>
    <row r="63" spans="1:25" s="71" customFormat="1">
      <c r="D63" s="87"/>
      <c r="E63" s="102"/>
      <c r="F63" s="65"/>
      <c r="G63" s="65"/>
      <c r="H63" s="65"/>
      <c r="I63" s="65"/>
      <c r="J63" s="65"/>
      <c r="K63" s="65"/>
      <c r="L63" s="65"/>
      <c r="M63" s="65"/>
      <c r="N63" s="65"/>
      <c r="O63" s="65"/>
      <c r="P63" s="65"/>
      <c r="Q63" s="65"/>
      <c r="R63" s="65"/>
      <c r="S63" s="65"/>
      <c r="T63" s="65"/>
      <c r="U63" s="65"/>
      <c r="V63" s="72"/>
      <c r="W63" s="72"/>
      <c r="X63" s="72"/>
      <c r="Y63" s="72"/>
    </row>
    <row r="64" spans="1:25" s="71" customFormat="1">
      <c r="D64" s="102"/>
      <c r="E64" s="102"/>
      <c r="F64" s="72"/>
      <c r="G64" s="65"/>
      <c r="H64" s="65"/>
      <c r="I64" s="65"/>
      <c r="J64" s="65"/>
      <c r="K64" s="65"/>
      <c r="L64" s="65"/>
      <c r="M64" s="65"/>
      <c r="N64" s="65"/>
      <c r="O64" s="65"/>
      <c r="P64" s="65"/>
      <c r="Q64" s="65"/>
      <c r="R64" s="65"/>
      <c r="S64" s="65"/>
      <c r="T64" s="65"/>
      <c r="U64" s="65"/>
      <c r="V64" s="72"/>
      <c r="W64" s="72"/>
      <c r="X64" s="72"/>
      <c r="Y64" s="72"/>
    </row>
    <row r="65" spans="1:25" s="71" customFormat="1">
      <c r="D65" s="2"/>
      <c r="G65" s="65"/>
      <c r="H65" s="65"/>
      <c r="I65" s="65"/>
      <c r="J65" s="65"/>
      <c r="K65" s="65"/>
      <c r="L65" s="65"/>
      <c r="M65" s="65"/>
      <c r="N65" s="65"/>
      <c r="O65" s="65"/>
      <c r="P65" s="65"/>
      <c r="Q65" s="65"/>
      <c r="R65" s="65"/>
      <c r="S65" s="65"/>
      <c r="T65" s="65"/>
      <c r="U65" s="65"/>
      <c r="V65" s="72"/>
      <c r="W65" s="72"/>
      <c r="X65" s="72"/>
      <c r="Y65" s="72"/>
    </row>
    <row r="66" spans="1:25" s="71" customFormat="1">
      <c r="D66" s="2"/>
      <c r="G66" s="65"/>
      <c r="H66" s="65"/>
      <c r="I66" s="65"/>
      <c r="J66" s="65"/>
      <c r="K66" s="65"/>
      <c r="L66" s="65"/>
      <c r="M66" s="65"/>
      <c r="N66" s="65"/>
      <c r="O66" s="65"/>
      <c r="P66" s="65"/>
      <c r="Q66" s="65"/>
      <c r="R66" s="65"/>
      <c r="S66" s="65"/>
      <c r="T66" s="65"/>
      <c r="U66" s="65"/>
      <c r="V66" s="72"/>
      <c r="W66" s="72"/>
      <c r="X66" s="72"/>
      <c r="Y66" s="72"/>
    </row>
    <row r="67" spans="1:25" s="71" customFormat="1">
      <c r="D67" s="2"/>
      <c r="G67" s="65"/>
      <c r="H67" s="65"/>
      <c r="I67" s="65"/>
      <c r="J67" s="65"/>
      <c r="K67" s="65"/>
      <c r="L67" s="65"/>
      <c r="M67" s="65"/>
      <c r="N67" s="65"/>
      <c r="O67" s="65"/>
      <c r="P67" s="65"/>
      <c r="Q67" s="65"/>
      <c r="R67" s="65"/>
      <c r="S67" s="65"/>
      <c r="T67" s="65"/>
      <c r="U67" s="65"/>
      <c r="V67" s="72"/>
      <c r="W67" s="72"/>
      <c r="X67" s="72"/>
      <c r="Y67" s="72"/>
    </row>
    <row r="68" spans="1:25" s="71" customFormat="1">
      <c r="D68" s="2"/>
      <c r="E68" s="102"/>
      <c r="F68" s="72"/>
      <c r="G68" s="65"/>
      <c r="H68" s="65"/>
      <c r="I68" s="65"/>
      <c r="J68" s="65"/>
      <c r="K68" s="65"/>
      <c r="L68" s="65"/>
      <c r="M68" s="65"/>
      <c r="N68" s="65"/>
      <c r="O68" s="65"/>
      <c r="P68" s="65"/>
      <c r="Q68" s="65"/>
      <c r="R68" s="65"/>
      <c r="S68" s="65"/>
      <c r="T68" s="65"/>
      <c r="U68" s="65"/>
      <c r="V68" s="72"/>
      <c r="W68" s="72"/>
      <c r="X68" s="72"/>
      <c r="Y68" s="72"/>
    </row>
    <row r="69" spans="1:25" s="71" customFormat="1">
      <c r="D69" s="2"/>
      <c r="E69" s="102"/>
      <c r="F69" s="72"/>
      <c r="G69" s="65"/>
      <c r="H69" s="65"/>
      <c r="I69" s="65"/>
      <c r="J69" s="65"/>
      <c r="K69" s="65"/>
      <c r="L69" s="65"/>
      <c r="M69" s="65"/>
      <c r="N69" s="65"/>
      <c r="O69" s="65"/>
      <c r="P69" s="65"/>
      <c r="Q69" s="65"/>
      <c r="R69" s="65"/>
      <c r="S69" s="65"/>
      <c r="T69" s="65"/>
      <c r="U69" s="65"/>
      <c r="V69" s="72"/>
      <c r="W69" s="72"/>
      <c r="X69" s="72"/>
      <c r="Y69" s="72"/>
    </row>
    <row r="70" spans="1:25" s="71" customFormat="1">
      <c r="D70" s="2"/>
      <c r="E70" s="102"/>
      <c r="F70" s="72"/>
      <c r="G70" s="65"/>
      <c r="H70" s="65"/>
      <c r="I70" s="65"/>
      <c r="J70" s="65"/>
      <c r="K70" s="65"/>
      <c r="L70" s="65"/>
      <c r="M70" s="65"/>
      <c r="N70" s="65"/>
      <c r="O70" s="65"/>
      <c r="P70" s="65"/>
      <c r="Q70" s="65"/>
      <c r="R70" s="65"/>
      <c r="S70" s="65"/>
      <c r="T70" s="65"/>
      <c r="U70" s="65"/>
      <c r="V70" s="72"/>
      <c r="W70" s="72"/>
      <c r="X70" s="72"/>
      <c r="Y70" s="72"/>
    </row>
    <row r="71" spans="1:25" s="71" customFormat="1">
      <c r="D71" s="2"/>
      <c r="E71" s="102"/>
      <c r="F71" s="65"/>
      <c r="G71" s="65"/>
      <c r="H71" s="65"/>
      <c r="I71" s="65"/>
      <c r="J71" s="65"/>
      <c r="K71" s="65"/>
      <c r="L71" s="65"/>
      <c r="M71" s="65"/>
      <c r="N71" s="65"/>
      <c r="O71" s="65"/>
      <c r="P71" s="65"/>
      <c r="Q71" s="65"/>
      <c r="R71" s="65"/>
      <c r="S71" s="65"/>
      <c r="T71" s="65"/>
      <c r="U71" s="65"/>
      <c r="V71" s="72"/>
      <c r="W71" s="72"/>
      <c r="X71" s="72"/>
      <c r="Y71" s="72"/>
    </row>
    <row r="72" spans="1:25" s="71" customFormat="1">
      <c r="F72" s="65"/>
      <c r="G72" s="65"/>
      <c r="H72" s="65"/>
      <c r="I72" s="65"/>
      <c r="J72" s="65"/>
      <c r="K72" s="65"/>
      <c r="L72" s="65"/>
      <c r="M72" s="65"/>
      <c r="N72" s="65"/>
      <c r="O72" s="65"/>
      <c r="P72" s="65"/>
      <c r="Q72" s="65"/>
      <c r="R72" s="65"/>
      <c r="S72" s="65"/>
      <c r="T72" s="65"/>
      <c r="U72" s="65"/>
      <c r="V72" s="72"/>
      <c r="W72" s="72"/>
      <c r="X72" s="72"/>
      <c r="Y72" s="72"/>
    </row>
    <row r="73" spans="1:25" s="71" customFormat="1">
      <c r="E73" s="94"/>
      <c r="F73" s="65"/>
      <c r="G73" s="65"/>
      <c r="H73" s="65"/>
      <c r="I73" s="65"/>
      <c r="J73" s="65"/>
      <c r="K73" s="65"/>
      <c r="L73" s="65"/>
      <c r="M73" s="65"/>
      <c r="N73" s="65"/>
      <c r="O73" s="65"/>
      <c r="P73" s="65"/>
      <c r="Q73" s="65"/>
      <c r="R73" s="65"/>
      <c r="S73" s="65"/>
      <c r="T73" s="65"/>
      <c r="U73" s="65"/>
      <c r="V73" s="72"/>
      <c r="W73" s="72"/>
      <c r="X73" s="72"/>
      <c r="Y73" s="72"/>
    </row>
    <row r="74" spans="1:25" s="71" customFormat="1">
      <c r="E74" s="94"/>
      <c r="F74" s="65"/>
      <c r="G74" s="65"/>
      <c r="H74" s="65"/>
      <c r="I74" s="65"/>
      <c r="J74" s="65"/>
      <c r="K74" s="65"/>
      <c r="L74" s="65"/>
      <c r="M74" s="65"/>
      <c r="N74" s="65"/>
      <c r="O74" s="65"/>
      <c r="P74" s="65"/>
      <c r="Q74" s="65"/>
      <c r="R74" s="65"/>
      <c r="S74" s="65"/>
      <c r="T74" s="65"/>
      <c r="U74" s="65"/>
      <c r="V74" s="72"/>
      <c r="W74" s="72"/>
      <c r="X74" s="72"/>
      <c r="Y74" s="72"/>
    </row>
    <row r="75" spans="1:25" s="71" customFormat="1">
      <c r="E75" s="94"/>
      <c r="F75" s="65"/>
      <c r="G75" s="65"/>
      <c r="H75" s="65"/>
      <c r="I75" s="65"/>
      <c r="J75" s="65"/>
      <c r="K75" s="65"/>
      <c r="L75" s="65"/>
      <c r="M75" s="65"/>
      <c r="N75" s="65"/>
      <c r="O75" s="65"/>
      <c r="P75" s="65"/>
      <c r="Q75" s="65"/>
      <c r="R75" s="65"/>
      <c r="S75" s="65"/>
      <c r="T75" s="65"/>
      <c r="U75" s="65"/>
      <c r="V75" s="72"/>
      <c r="W75" s="72"/>
      <c r="X75" s="72"/>
      <c r="Y75" s="72"/>
    </row>
    <row r="76" spans="1:25" s="71" customFormat="1">
      <c r="B76" s="93"/>
      <c r="C76" s="93"/>
      <c r="D76" s="94"/>
      <c r="E76" s="94"/>
      <c r="F76" s="65"/>
      <c r="G76" s="65"/>
      <c r="H76" s="65"/>
      <c r="I76" s="65"/>
      <c r="J76" s="65"/>
      <c r="K76" s="65"/>
      <c r="L76" s="65"/>
      <c r="M76" s="65"/>
      <c r="N76" s="65"/>
      <c r="O76" s="65"/>
      <c r="P76" s="65"/>
      <c r="Q76" s="65"/>
      <c r="R76" s="65"/>
      <c r="S76" s="65"/>
      <c r="T76" s="65"/>
      <c r="U76" s="65"/>
      <c r="V76" s="72"/>
      <c r="W76" s="72"/>
      <c r="X76" s="72"/>
      <c r="Y76" s="72"/>
    </row>
    <row r="77" spans="1:25" s="71" customFormat="1">
      <c r="B77" s="93"/>
      <c r="C77" s="93"/>
      <c r="D77" s="94"/>
      <c r="E77" s="94"/>
      <c r="F77" s="65"/>
      <c r="G77" s="65"/>
      <c r="H77" s="65"/>
      <c r="I77" s="65"/>
      <c r="J77" s="65"/>
      <c r="K77" s="65"/>
      <c r="L77" s="65"/>
      <c r="M77" s="65"/>
      <c r="N77" s="65"/>
      <c r="O77" s="65"/>
      <c r="P77" s="65"/>
      <c r="Q77" s="65"/>
      <c r="R77" s="65"/>
      <c r="S77" s="65"/>
      <c r="T77" s="65"/>
      <c r="U77" s="65"/>
      <c r="V77" s="72"/>
      <c r="W77" s="72"/>
      <c r="X77" s="72"/>
      <c r="Y77" s="72"/>
    </row>
    <row r="78" spans="1:25" s="71" customFormat="1">
      <c r="B78" s="93"/>
      <c r="D78" s="94"/>
      <c r="E78" s="94"/>
      <c r="F78" s="65"/>
      <c r="G78" s="65"/>
      <c r="H78" s="65"/>
      <c r="I78" s="65"/>
      <c r="J78" s="65"/>
      <c r="K78" s="65"/>
      <c r="L78" s="65"/>
      <c r="M78" s="65"/>
      <c r="N78" s="65"/>
      <c r="O78" s="65"/>
      <c r="P78" s="65"/>
      <c r="Q78" s="65"/>
      <c r="R78" s="65"/>
      <c r="S78" s="65"/>
      <c r="T78" s="65"/>
      <c r="U78" s="65"/>
      <c r="V78" s="72"/>
      <c r="W78" s="72"/>
      <c r="X78" s="72"/>
      <c r="Y78" s="72"/>
    </row>
    <row r="79" spans="1:25" s="71" customFormat="1">
      <c r="B79" s="93"/>
      <c r="D79" s="94"/>
      <c r="E79" s="94"/>
      <c r="F79" s="65"/>
      <c r="G79" s="65"/>
      <c r="H79" s="65"/>
      <c r="I79" s="65"/>
      <c r="J79" s="65"/>
      <c r="K79" s="65"/>
      <c r="L79" s="65"/>
      <c r="M79" s="65"/>
      <c r="N79" s="65"/>
      <c r="O79" s="65"/>
      <c r="P79" s="65"/>
      <c r="Q79" s="65"/>
      <c r="R79" s="65"/>
      <c r="S79" s="65"/>
      <c r="T79" s="65"/>
      <c r="U79" s="65"/>
      <c r="V79" s="72"/>
      <c r="W79" s="72"/>
      <c r="X79" s="72"/>
      <c r="Y79" s="72"/>
    </row>
    <row r="80" spans="1:25" s="71" customFormat="1">
      <c r="A80" s="65"/>
      <c r="B80" s="93"/>
      <c r="D80" s="94"/>
      <c r="E80" s="94"/>
      <c r="F80" s="65"/>
      <c r="G80" s="65"/>
      <c r="H80" s="65"/>
      <c r="I80" s="65"/>
      <c r="J80" s="65"/>
      <c r="K80" s="65"/>
      <c r="L80" s="65"/>
      <c r="M80" s="65"/>
      <c r="N80" s="65"/>
      <c r="O80" s="65"/>
      <c r="P80" s="65"/>
      <c r="Q80" s="65"/>
      <c r="R80" s="65"/>
      <c r="S80" s="65"/>
      <c r="T80" s="65"/>
      <c r="U80" s="65"/>
      <c r="V80" s="72"/>
      <c r="W80" s="72"/>
      <c r="X80" s="72"/>
      <c r="Y80" s="72"/>
    </row>
    <row r="81" spans="1:25" s="71" customFormat="1">
      <c r="A81" s="65"/>
      <c r="B81" s="93"/>
      <c r="D81" s="93"/>
      <c r="E81" s="94"/>
      <c r="F81" s="65"/>
      <c r="G81" s="65"/>
      <c r="H81" s="65"/>
      <c r="I81" s="65"/>
      <c r="J81" s="65"/>
      <c r="K81" s="65"/>
      <c r="L81" s="65"/>
      <c r="M81" s="65"/>
      <c r="N81" s="65"/>
      <c r="O81" s="65"/>
      <c r="P81" s="65"/>
      <c r="Q81" s="65"/>
      <c r="R81" s="65"/>
      <c r="S81" s="65"/>
      <c r="T81" s="65"/>
      <c r="U81" s="65"/>
      <c r="V81" s="72"/>
      <c r="W81" s="72"/>
      <c r="X81" s="72"/>
      <c r="Y81" s="72"/>
    </row>
    <row r="82" spans="1:25" s="71" customFormat="1">
      <c r="A82" s="65"/>
      <c r="B82" s="93"/>
      <c r="D82" s="93"/>
      <c r="E82" s="94"/>
      <c r="F82" s="65"/>
      <c r="G82" s="65"/>
      <c r="H82" s="65"/>
      <c r="I82" s="65"/>
      <c r="J82" s="65"/>
      <c r="K82" s="65"/>
      <c r="L82" s="65"/>
      <c r="M82" s="65"/>
      <c r="N82" s="65"/>
      <c r="O82" s="65"/>
      <c r="P82" s="65"/>
      <c r="Q82" s="65"/>
      <c r="R82" s="65"/>
      <c r="S82" s="65"/>
      <c r="T82" s="65"/>
      <c r="U82" s="65"/>
      <c r="V82" s="72"/>
      <c r="W82" s="72"/>
      <c r="X82" s="72"/>
      <c r="Y82" s="72"/>
    </row>
    <row r="83" spans="1:25" s="71" customFormat="1">
      <c r="A83" s="65"/>
      <c r="B83" s="93"/>
      <c r="D83" s="93"/>
      <c r="E83" s="94"/>
      <c r="F83" s="65"/>
      <c r="G83" s="65"/>
      <c r="H83" s="65"/>
      <c r="I83" s="65"/>
      <c r="J83" s="65"/>
      <c r="K83" s="65"/>
      <c r="L83" s="65"/>
      <c r="M83"/>
      <c r="N83" s="65"/>
      <c r="O83" s="65"/>
      <c r="P83" s="65"/>
      <c r="Q83" s="65"/>
      <c r="R83" s="65"/>
      <c r="S83" s="65"/>
      <c r="T83" s="65"/>
      <c r="U83" s="65"/>
      <c r="V83" s="72"/>
      <c r="W83" s="72"/>
      <c r="X83" s="72"/>
      <c r="Y83" s="72"/>
    </row>
    <row r="84" spans="1:25" s="71" customFormat="1">
      <c r="A84" s="65"/>
      <c r="B84" s="93"/>
      <c r="D84" s="93"/>
      <c r="E84" s="94"/>
      <c r="F84" s="65"/>
      <c r="G84" s="65"/>
      <c r="H84" s="65"/>
      <c r="I84" s="65"/>
      <c r="J84" s="65"/>
      <c r="K84" s="65"/>
      <c r="M84" s="65"/>
      <c r="N84" s="65"/>
      <c r="O84"/>
      <c r="P84" s="65"/>
      <c r="Q84" s="65"/>
      <c r="R84" s="65"/>
      <c r="S84" s="65"/>
      <c r="T84" s="65"/>
      <c r="U84" s="65"/>
      <c r="V84" s="72"/>
      <c r="W84" s="72"/>
      <c r="X84" s="72"/>
      <c r="Y84" s="72"/>
    </row>
    <row r="85" spans="1:25" s="71" customFormat="1">
      <c r="A85" s="65"/>
      <c r="B85" s="93"/>
      <c r="D85" s="93"/>
      <c r="E85" s="94"/>
      <c r="F85" s="65"/>
      <c r="G85" s="65"/>
      <c r="H85" s="65"/>
      <c r="I85" s="65"/>
      <c r="J85" s="65"/>
      <c r="K85" s="65"/>
      <c r="L85"/>
      <c r="M85" s="65"/>
      <c r="N85" s="65"/>
      <c r="O85" s="65"/>
      <c r="P85" s="65"/>
      <c r="Q85" s="65"/>
      <c r="R85" s="65"/>
      <c r="S85" s="65"/>
      <c r="T85" s="65"/>
      <c r="U85" s="65"/>
      <c r="V85" s="72"/>
      <c r="W85" s="72"/>
      <c r="X85" s="72"/>
      <c r="Y85" s="72"/>
    </row>
    <row r="86" spans="1:25" s="71" customFormat="1">
      <c r="A86" s="65"/>
      <c r="B86" s="93"/>
      <c r="C86" s="93"/>
      <c r="D86" s="93"/>
      <c r="E86" s="95"/>
      <c r="F86" s="65"/>
      <c r="G86" s="65"/>
      <c r="H86" s="65"/>
      <c r="I86" s="65"/>
      <c r="J86" s="65"/>
      <c r="K86" s="65"/>
      <c r="L86"/>
      <c r="M86" s="65"/>
      <c r="N86" s="65"/>
      <c r="O86"/>
      <c r="P86" s="65"/>
      <c r="Q86" s="65"/>
      <c r="R86" s="65"/>
      <c r="S86" s="65"/>
      <c r="T86" s="65"/>
      <c r="U86" s="65"/>
      <c r="V86" s="72"/>
      <c r="W86" s="72"/>
      <c r="X86" s="72"/>
      <c r="Y86" s="72"/>
    </row>
    <row r="87" spans="1:25" s="71" customFormat="1">
      <c r="A87" s="65"/>
      <c r="E87" s="65"/>
      <c r="F87" s="65"/>
      <c r="G87" s="65"/>
      <c r="H87" s="65"/>
      <c r="I87" s="65"/>
      <c r="J87" s="65"/>
      <c r="K87" s="65"/>
      <c r="L87" s="65"/>
      <c r="M87" s="65"/>
      <c r="N87" s="65"/>
      <c r="O87" s="65"/>
      <c r="P87" s="65"/>
      <c r="Q87" s="65"/>
      <c r="R87" s="65"/>
      <c r="S87" s="65"/>
      <c r="T87" s="65"/>
      <c r="U87" s="65"/>
      <c r="V87" s="72"/>
      <c r="W87" s="72"/>
      <c r="X87" s="72"/>
      <c r="Y87" s="72"/>
    </row>
    <row r="88" spans="1:25" s="71" customFormat="1">
      <c r="A88" s="65"/>
      <c r="B88" s="65"/>
      <c r="C88" s="65"/>
      <c r="D88" s="65"/>
      <c r="E88" s="65"/>
      <c r="F88" s="65"/>
      <c r="G88" s="65"/>
      <c r="H88" s="65"/>
      <c r="I88" s="65"/>
      <c r="J88" s="65"/>
      <c r="K88" s="65"/>
      <c r="L88" s="78"/>
      <c r="M88" s="78"/>
      <c r="N88" s="78"/>
      <c r="O88" s="78"/>
      <c r="P88" s="78"/>
      <c r="R88" s="65"/>
      <c r="S88" s="65"/>
      <c r="T88" s="65"/>
      <c r="U88" s="65"/>
      <c r="V88" s="72"/>
      <c r="W88" s="72"/>
      <c r="X88" s="72"/>
      <c r="Y88" s="72"/>
    </row>
    <row r="89" spans="1:25" s="71" customFormat="1">
      <c r="A89" s="65"/>
      <c r="B89" s="65"/>
      <c r="C89" s="65"/>
      <c r="D89" s="65"/>
      <c r="E89" s="65"/>
      <c r="F89" s="65"/>
      <c r="G89" s="65"/>
      <c r="H89" s="65"/>
      <c r="I89" s="65"/>
      <c r="J89" s="65"/>
      <c r="K89" s="65"/>
      <c r="L89" s="78"/>
      <c r="M89" s="78"/>
      <c r="N89" s="78"/>
      <c r="O89" s="78"/>
      <c r="P89" s="78"/>
      <c r="Q89" s="65"/>
      <c r="R89" s="65"/>
      <c r="S89" s="65"/>
      <c r="T89" s="65"/>
      <c r="U89" s="65"/>
      <c r="V89" s="72"/>
      <c r="W89" s="72"/>
      <c r="X89" s="72"/>
      <c r="Y89" s="72"/>
    </row>
    <row r="90" spans="1:25" s="71" customFormat="1">
      <c r="A90" s="65"/>
      <c r="B90" s="65"/>
      <c r="C90" s="65"/>
      <c r="D90" s="65"/>
      <c r="E90" s="65"/>
      <c r="F90" s="65"/>
      <c r="G90" s="65"/>
      <c r="H90" s="65"/>
      <c r="I90" s="65"/>
      <c r="J90" s="65"/>
      <c r="K90" s="65"/>
      <c r="L90" s="78"/>
      <c r="M90" s="78"/>
      <c r="N90" s="78"/>
      <c r="O90" s="78"/>
      <c r="P90" s="78"/>
      <c r="Q90" s="65"/>
      <c r="R90" s="65"/>
      <c r="S90" s="65"/>
      <c r="T90" s="65"/>
      <c r="U90" s="65"/>
      <c r="V90" s="72"/>
      <c r="W90" s="72"/>
      <c r="X90" s="72"/>
      <c r="Y90" s="72"/>
    </row>
    <row r="91" spans="1:25" s="71" customFormat="1">
      <c r="A91" s="65"/>
      <c r="B91" s="65"/>
      <c r="C91" s="65"/>
      <c r="D91" s="65"/>
      <c r="E91" s="65"/>
      <c r="F91" s="65"/>
      <c r="G91" s="65"/>
      <c r="H91" s="65"/>
      <c r="I91" s="65"/>
      <c r="J91" s="65"/>
      <c r="K91" s="65"/>
      <c r="L91" s="78"/>
      <c r="M91" s="78"/>
      <c r="N91" s="78"/>
      <c r="O91" s="78"/>
      <c r="P91" s="78"/>
      <c r="Q91" s="65"/>
      <c r="R91" s="65"/>
      <c r="S91" s="65"/>
      <c r="T91" s="65"/>
      <c r="U91" s="65"/>
      <c r="V91" s="72"/>
      <c r="W91" s="72"/>
      <c r="X91" s="72"/>
      <c r="Y91" s="72"/>
    </row>
    <row r="92" spans="1:25" s="71" customFormat="1">
      <c r="A92" s="65"/>
      <c r="B92" s="65"/>
      <c r="C92" s="65"/>
      <c r="D92" s="65"/>
      <c r="E92" s="65"/>
      <c r="F92" s="65"/>
      <c r="G92" s="65"/>
      <c r="H92" s="65"/>
      <c r="I92" s="65"/>
      <c r="J92" s="65"/>
      <c r="K92" s="65"/>
      <c r="L92" s="65"/>
      <c r="M92" s="65"/>
      <c r="N92" s="65"/>
      <c r="O92" s="65"/>
      <c r="P92" s="65"/>
      <c r="Q92" s="65"/>
      <c r="R92" s="65"/>
      <c r="S92" s="65"/>
      <c r="T92" s="65"/>
      <c r="U92" s="65"/>
      <c r="V92" s="72"/>
      <c r="W92" s="72"/>
      <c r="X92" s="72"/>
      <c r="Y92" s="72"/>
    </row>
    <row r="93" spans="1:25" s="71" customFormat="1">
      <c r="A93" s="65"/>
      <c r="B93" s="65"/>
      <c r="C93" s="65"/>
      <c r="D93" s="65"/>
      <c r="E93" s="65"/>
      <c r="F93" s="65"/>
      <c r="G93" s="65"/>
      <c r="H93" s="65"/>
      <c r="I93" s="65"/>
      <c r="J93" s="65"/>
      <c r="K93" s="65"/>
      <c r="L93" s="65"/>
      <c r="M93" s="65"/>
      <c r="N93" s="65"/>
      <c r="O93" s="65"/>
      <c r="P93" s="65"/>
      <c r="Q93" s="65"/>
      <c r="R93" s="65"/>
      <c r="S93" s="65"/>
      <c r="T93" s="65"/>
      <c r="U93" s="65"/>
      <c r="V93" s="72"/>
      <c r="W93" s="72"/>
      <c r="X93" s="72"/>
      <c r="Y93" s="72"/>
    </row>
    <row r="94" spans="1:25">
      <c r="A94" s="48"/>
      <c r="B94" s="440"/>
      <c r="C94" s="440"/>
      <c r="D94" s="48"/>
      <c r="E94" s="48"/>
      <c r="F94" s="48"/>
      <c r="G94" s="48"/>
      <c r="H94" s="48"/>
      <c r="I94" s="48"/>
      <c r="J94" s="48"/>
      <c r="K94" s="48"/>
      <c r="L94" s="48"/>
      <c r="M94" s="48"/>
      <c r="N94" s="48"/>
      <c r="O94" s="48"/>
      <c r="P94" s="48"/>
      <c r="Q94" s="48"/>
      <c r="R94" s="48"/>
      <c r="S94" s="48"/>
      <c r="T94" s="48"/>
      <c r="U94" s="48"/>
      <c r="V94" s="48"/>
      <c r="W94" s="48"/>
      <c r="X94" s="48"/>
      <c r="Y94" s="48"/>
    </row>
    <row r="95" spans="1:25" ht="14.25">
      <c r="A95" s="416">
        <v>1</v>
      </c>
      <c r="B95" s="440" t="s">
        <v>286</v>
      </c>
      <c r="C95" s="440"/>
      <c r="D95" s="48"/>
      <c r="E95" s="48"/>
      <c r="F95" s="48"/>
      <c r="G95" s="48"/>
      <c r="H95" s="48"/>
      <c r="I95" s="48"/>
      <c r="J95" s="48"/>
      <c r="K95" s="48"/>
      <c r="L95" s="48"/>
      <c r="M95" s="48"/>
      <c r="N95" s="48"/>
      <c r="O95" s="48"/>
      <c r="P95" s="48"/>
      <c r="Q95" s="48"/>
      <c r="R95" s="48"/>
      <c r="S95" s="48"/>
      <c r="T95" s="48"/>
      <c r="U95" s="48"/>
      <c r="V95" s="48"/>
      <c r="W95" s="48"/>
      <c r="X95" s="48"/>
      <c r="Y95" s="48"/>
    </row>
    <row r="96" spans="1:25" ht="14.25">
      <c r="A96" s="48"/>
      <c r="B96" s="441" t="s">
        <v>311</v>
      </c>
      <c r="C96" s="442"/>
      <c r="D96" s="48"/>
      <c r="E96" s="48"/>
      <c r="F96" s="48"/>
      <c r="G96" s="48"/>
      <c r="H96" s="48"/>
      <c r="I96" s="48"/>
      <c r="J96" s="48"/>
      <c r="K96" s="48"/>
      <c r="L96" s="48"/>
      <c r="M96" s="48"/>
      <c r="N96" s="48"/>
      <c r="O96" s="48"/>
      <c r="P96" s="48"/>
      <c r="Q96" s="48"/>
      <c r="R96" s="48"/>
      <c r="S96" s="48"/>
      <c r="T96" s="48"/>
      <c r="U96" s="48"/>
      <c r="V96" s="48"/>
      <c r="W96" s="48"/>
      <c r="X96" s="48"/>
      <c r="Y96" s="48"/>
    </row>
    <row r="97" spans="1:25" ht="14.25">
      <c r="A97" s="48"/>
      <c r="B97" s="441" t="s">
        <v>312</v>
      </c>
      <c r="C97" s="440"/>
      <c r="D97" s="48"/>
      <c r="E97" s="48"/>
      <c r="F97" s="48"/>
      <c r="G97" s="48"/>
      <c r="H97" s="48"/>
      <c r="I97" s="48"/>
      <c r="J97" s="48"/>
      <c r="K97" s="48"/>
      <c r="L97" s="48"/>
      <c r="M97" s="48"/>
      <c r="N97" s="48"/>
      <c r="O97" s="48"/>
      <c r="P97" s="48"/>
      <c r="Q97" s="48"/>
      <c r="R97" s="48"/>
      <c r="S97" s="48"/>
      <c r="T97" s="48"/>
      <c r="U97" s="48"/>
      <c r="V97" s="48"/>
      <c r="W97" s="48"/>
      <c r="X97" s="48"/>
      <c r="Y97" s="48"/>
    </row>
    <row r="98" spans="1:25">
      <c r="A98" s="48"/>
      <c r="B98" s="488" t="str">
        <f>"Deze kringlooporganisatie heeft afgelopen jaar "&amp;-ROUND(Rekensheet!C99,0)&amp;" ton CO2 bespaard!"</f>
        <v>Deze kringlooporganisatie heeft afgelopen jaar 0 ton CO2 bespaard!</v>
      </c>
      <c r="C98" s="440"/>
      <c r="D98" s="48"/>
      <c r="E98" s="48"/>
      <c r="F98" s="48"/>
      <c r="G98" s="48"/>
      <c r="H98" s="48"/>
      <c r="I98" s="48"/>
      <c r="J98" s="48"/>
      <c r="K98" s="48"/>
      <c r="L98" s="48"/>
      <c r="M98" s="48"/>
      <c r="N98" s="48"/>
      <c r="O98" s="48"/>
      <c r="P98" s="48"/>
      <c r="Q98" s="48"/>
      <c r="R98" s="48"/>
      <c r="S98" s="48"/>
      <c r="T98" s="48"/>
      <c r="U98" s="48"/>
      <c r="V98" s="48"/>
      <c r="W98" s="48"/>
      <c r="X98" s="48"/>
      <c r="Y98" s="48"/>
    </row>
    <row r="99" spans="1:25">
      <c r="A99" s="48"/>
      <c r="B99" s="453" t="str">
        <f>"Totaal scenario met kringloop "&amp;ROUND(Rekensheet!S88,0)&amp;" ton CO2."</f>
        <v>Totaal scenario met kringloop 0 ton CO2.</v>
      </c>
      <c r="C99" s="453"/>
      <c r="D99" s="48"/>
      <c r="E99" s="48"/>
      <c r="F99" s="48"/>
      <c r="G99" s="48"/>
      <c r="H99" s="48"/>
      <c r="I99" s="48"/>
      <c r="J99" s="48"/>
      <c r="K99" s="48"/>
      <c r="L99" s="48"/>
      <c r="M99" s="48"/>
      <c r="N99" s="48"/>
      <c r="O99" s="48"/>
      <c r="P99" s="48"/>
      <c r="Q99" s="48"/>
      <c r="R99" s="48"/>
      <c r="S99" s="48"/>
      <c r="T99" s="48"/>
      <c r="U99" s="48"/>
      <c r="V99" s="48"/>
      <c r="W99" s="48"/>
      <c r="X99" s="48"/>
      <c r="Y99" s="48"/>
    </row>
    <row r="100" spans="1:25">
      <c r="A100" s="48"/>
      <c r="B100" s="453" t="str">
        <f>"Totaal scenario zonder kringloop "&amp;ROUND(Rekensheet!S89,0)&amp;" ton CO2."</f>
        <v>Totaal scenario zonder kringloop 0 ton CO2.</v>
      </c>
      <c r="C100" s="453"/>
      <c r="D100" s="48"/>
      <c r="E100" s="48"/>
      <c r="F100" s="48"/>
      <c r="G100" s="48"/>
      <c r="H100" s="48"/>
      <c r="I100" s="48"/>
      <c r="J100" s="48"/>
      <c r="K100" s="48"/>
      <c r="L100" s="48"/>
      <c r="M100" s="48"/>
      <c r="N100" s="48"/>
      <c r="O100" s="48"/>
      <c r="P100" s="48"/>
      <c r="Q100" s="48"/>
      <c r="R100" s="48"/>
      <c r="S100" s="48"/>
      <c r="T100" s="48"/>
      <c r="U100" s="48"/>
      <c r="V100" s="48"/>
      <c r="W100" s="48"/>
      <c r="X100" s="48"/>
      <c r="Y100" s="48"/>
    </row>
    <row r="101" spans="1:25">
      <c r="A101" s="48"/>
      <c r="B101" s="440"/>
      <c r="C101" s="440"/>
      <c r="D101" s="48"/>
      <c r="E101" s="48"/>
      <c r="F101" s="48"/>
      <c r="G101" s="48"/>
      <c r="H101" s="48"/>
      <c r="I101" s="48"/>
      <c r="J101" s="48"/>
      <c r="K101" s="48"/>
      <c r="L101" s="48"/>
      <c r="M101" s="48"/>
      <c r="N101" s="48"/>
      <c r="O101" s="48"/>
      <c r="P101" s="48"/>
      <c r="Q101" s="48"/>
      <c r="R101" s="48"/>
      <c r="S101" s="48"/>
      <c r="T101" s="48"/>
      <c r="U101" s="48"/>
      <c r="V101" s="48"/>
      <c r="W101" s="48"/>
      <c r="X101" s="48"/>
      <c r="Y101" s="48"/>
    </row>
    <row r="102" spans="1:25">
      <c r="B102" s="440"/>
      <c r="C102" s="440"/>
    </row>
    <row r="103" spans="1:25">
      <c r="B103" s="440"/>
      <c r="C103" s="440"/>
    </row>
    <row r="104" spans="1:25">
      <c r="B104" s="440"/>
      <c r="C104" s="440"/>
    </row>
    <row r="105" spans="1:25">
      <c r="B105" s="45"/>
      <c r="C105" s="45"/>
    </row>
    <row r="106" spans="1:25">
      <c r="B106" s="45"/>
      <c r="C106" s="45"/>
    </row>
    <row r="116" spans="12:13">
      <c r="L116" s="45"/>
      <c r="M116" s="45"/>
    </row>
  </sheetData>
  <sheetProtection algorithmName="SHA-512" hashValue="Bro26K0AxofBgN+OtOsuS5Qjfh38K7zzm2sVBaO9Zwc8imo+/cC/Pgn5BJfUfD2T5wLz3rkZyWFQPnGUY1UXzQ==" saltValue="GoSMjdcKLrGR+xFbCif5+Q==" spinCount="100000" sheet="1" objects="1" scenarios="1"/>
  <protectedRanges>
    <protectedRange sqref="D13:F21" name="Bereik5"/>
    <protectedRange sqref="C13:C21" name="Bereik1"/>
    <protectedRange sqref="C28" name="Bereik2"/>
    <protectedRange sqref="I14" name="Bereik3"/>
    <protectedRange sqref="I20" name="Bereik4"/>
  </protectedRanges>
  <mergeCells count="4">
    <mergeCell ref="D10:F10"/>
    <mergeCell ref="J58:L58"/>
    <mergeCell ref="H58:I58"/>
    <mergeCell ref="H11:I11"/>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Z71"/>
  <sheetViews>
    <sheetView zoomScale="85" zoomScaleNormal="85" workbookViewId="0">
      <selection activeCell="F25" sqref="F25"/>
    </sheetView>
  </sheetViews>
  <sheetFormatPr defaultColWidth="8.85546875" defaultRowHeight="12.75"/>
  <cols>
    <col min="1" max="1" width="8.85546875" style="43"/>
    <col min="2" max="2" width="37.5703125" style="43" bestFit="1" customWidth="1"/>
    <col min="3" max="4" width="13.28515625" style="43" customWidth="1"/>
    <col min="5" max="5" width="14.140625" style="43" customWidth="1"/>
    <col min="6" max="7" width="13.28515625" style="43" customWidth="1"/>
    <col min="8" max="8" width="14.28515625" style="43" customWidth="1"/>
    <col min="9" max="9" width="19.5703125" style="43" bestFit="1" customWidth="1"/>
    <col min="10" max="10" width="10.5703125" style="43" bestFit="1" customWidth="1"/>
    <col min="11" max="11" width="18.28515625" style="43" customWidth="1"/>
    <col min="12" max="13" width="10.5703125" style="43" bestFit="1" customWidth="1"/>
    <col min="14" max="16384" width="8.85546875" style="43"/>
  </cols>
  <sheetData>
    <row r="1" spans="1:22">
      <c r="B1" s="54"/>
    </row>
    <row r="2" spans="1:22">
      <c r="B2" s="54"/>
    </row>
    <row r="3" spans="1:22">
      <c r="B3" s="54"/>
    </row>
    <row r="4" spans="1:22">
      <c r="B4" s="42"/>
      <c r="K4" s="55"/>
    </row>
    <row r="5" spans="1:22">
      <c r="B5" s="42"/>
      <c r="K5" s="55"/>
    </row>
    <row r="6" spans="1:22">
      <c r="A6" s="9"/>
      <c r="B6" s="57"/>
      <c r="C6" s="9"/>
      <c r="D6" s="9"/>
      <c r="E6" s="9"/>
      <c r="F6" s="9"/>
      <c r="G6" s="9"/>
      <c r="H6" s="9"/>
      <c r="I6" s="9"/>
      <c r="J6" s="9"/>
      <c r="K6" s="58"/>
      <c r="L6" s="9"/>
      <c r="M6" s="9"/>
      <c r="N6" s="9"/>
      <c r="O6" s="9"/>
      <c r="P6" s="9"/>
      <c r="Q6" s="9"/>
      <c r="R6" s="9"/>
      <c r="S6" s="9"/>
      <c r="T6" s="9"/>
      <c r="U6" s="9"/>
      <c r="V6" s="9"/>
    </row>
    <row r="7" spans="1:22">
      <c r="A7" s="59"/>
      <c r="B7" s="60"/>
      <c r="C7" s="59"/>
      <c r="D7" s="59"/>
      <c r="E7" s="59"/>
      <c r="F7" s="59"/>
      <c r="G7" s="59"/>
      <c r="H7" s="59"/>
      <c r="I7" s="59"/>
      <c r="J7" s="59"/>
      <c r="K7" s="61"/>
      <c r="L7" s="59"/>
      <c r="M7" s="59"/>
      <c r="N7" s="59"/>
      <c r="O7" s="59"/>
      <c r="P7" s="59"/>
      <c r="Q7" s="9"/>
      <c r="R7" s="9"/>
      <c r="S7" s="9"/>
      <c r="T7" s="9"/>
      <c r="U7" s="9"/>
      <c r="V7" s="9"/>
    </row>
    <row r="8" spans="1:22">
      <c r="A8" s="59"/>
      <c r="B8" s="146" t="s">
        <v>320</v>
      </c>
      <c r="C8" s="142"/>
      <c r="D8" s="142"/>
      <c r="E8" s="142"/>
      <c r="F8" s="142"/>
      <c r="G8" s="142"/>
      <c r="H8" s="142"/>
      <c r="I8" s="142"/>
      <c r="J8" s="142"/>
      <c r="K8" s="142"/>
      <c r="L8" s="142"/>
      <c r="M8" s="142"/>
      <c r="N8" s="142"/>
      <c r="O8" s="142"/>
      <c r="P8" s="142"/>
      <c r="Q8" s="142"/>
      <c r="R8" s="142"/>
      <c r="S8" s="142"/>
      <c r="T8" s="142"/>
      <c r="U8" s="142"/>
      <c r="V8" s="9"/>
    </row>
    <row r="9" spans="1:22">
      <c r="A9" s="59"/>
      <c r="B9" s="143"/>
      <c r="C9" s="142"/>
      <c r="D9" s="142"/>
      <c r="E9" s="144"/>
      <c r="F9" s="142"/>
      <c r="G9" s="142"/>
      <c r="H9" s="142"/>
      <c r="I9" s="142"/>
      <c r="J9" s="142"/>
      <c r="K9" s="142"/>
      <c r="L9" s="142"/>
      <c r="M9" s="142"/>
      <c r="N9" s="142"/>
      <c r="O9" s="142"/>
      <c r="P9" s="142"/>
      <c r="Q9" s="142"/>
      <c r="R9" s="142"/>
      <c r="S9" s="142"/>
      <c r="T9" s="142"/>
      <c r="U9" s="142"/>
      <c r="V9" s="9"/>
    </row>
    <row r="10" spans="1:22">
      <c r="A10" s="59"/>
      <c r="B10" s="145"/>
      <c r="C10" s="501" t="s">
        <v>1</v>
      </c>
      <c r="D10" s="501"/>
      <c r="E10" s="144"/>
      <c r="F10" s="142"/>
      <c r="G10" s="142"/>
      <c r="H10" s="142"/>
      <c r="I10" s="142"/>
      <c r="J10" s="142"/>
      <c r="K10" s="142"/>
      <c r="L10" s="142"/>
      <c r="M10" s="142"/>
      <c r="N10" s="142"/>
      <c r="O10" s="142"/>
      <c r="P10" s="142"/>
      <c r="Q10" s="142"/>
      <c r="R10" s="142"/>
      <c r="S10" s="142"/>
      <c r="T10" s="142"/>
      <c r="U10" s="142"/>
      <c r="V10" s="9"/>
    </row>
    <row r="11" spans="1:22" ht="28.5" thickBot="1">
      <c r="A11" s="59"/>
      <c r="B11" s="171" t="s">
        <v>0</v>
      </c>
      <c r="C11" s="172" t="s">
        <v>222</v>
      </c>
      <c r="D11" s="173" t="s">
        <v>287</v>
      </c>
      <c r="E11" s="142"/>
      <c r="F11" s="142"/>
      <c r="G11" s="142"/>
      <c r="H11" s="142"/>
      <c r="I11" s="142"/>
      <c r="J11" s="146"/>
      <c r="K11" s="147"/>
      <c r="L11" s="148"/>
      <c r="M11" s="142"/>
      <c r="N11" s="142"/>
      <c r="O11" s="142"/>
      <c r="P11" s="142"/>
      <c r="Q11" s="142"/>
      <c r="R11" s="142"/>
      <c r="S11" s="142"/>
      <c r="T11" s="142"/>
      <c r="U11" s="142"/>
      <c r="V11" s="9"/>
    </row>
    <row r="12" spans="1:22">
      <c r="A12" s="59"/>
      <c r="B12" s="149" t="s">
        <v>7</v>
      </c>
      <c r="C12" s="150" t="str">
        <f>IF(Cockpit!$C$22=0,"Onbekend",Cockpit!C13/Cockpit!$C$22*100%)</f>
        <v>Onbekend</v>
      </c>
      <c r="D12" s="151">
        <v>0.13320000000000001</v>
      </c>
      <c r="E12" s="144"/>
      <c r="F12" s="142"/>
      <c r="G12" s="142"/>
      <c r="H12" s="142"/>
      <c r="I12" s="142"/>
      <c r="J12" s="142"/>
      <c r="K12" s="142"/>
      <c r="L12" s="152"/>
      <c r="M12" s="142"/>
      <c r="N12" s="142"/>
      <c r="O12" s="142"/>
      <c r="P12" s="142"/>
      <c r="Q12" s="142"/>
      <c r="R12" s="142"/>
      <c r="S12" s="142"/>
      <c r="T12" s="142"/>
      <c r="U12" s="142"/>
      <c r="V12" s="9"/>
    </row>
    <row r="13" spans="1:22">
      <c r="A13" s="59"/>
      <c r="B13" s="153" t="s">
        <v>63</v>
      </c>
      <c r="C13" s="150" t="str">
        <f>IF(Cockpit!$C$22=0,"Onbekend",Cockpit!C14/Cockpit!$C$22*100%)</f>
        <v>Onbekend</v>
      </c>
      <c r="D13" s="154">
        <v>0.1895</v>
      </c>
      <c r="E13" s="142"/>
      <c r="F13" s="142"/>
      <c r="G13" s="142"/>
      <c r="H13" s="142"/>
      <c r="I13" s="142"/>
      <c r="J13" s="142"/>
      <c r="K13" s="142"/>
      <c r="L13" s="152"/>
      <c r="M13" s="142"/>
      <c r="N13" s="142"/>
      <c r="O13" s="142"/>
      <c r="P13" s="142"/>
      <c r="Q13" s="142"/>
      <c r="R13" s="142"/>
      <c r="S13" s="142"/>
      <c r="T13" s="142"/>
      <c r="U13" s="142"/>
      <c r="V13" s="9"/>
    </row>
    <row r="14" spans="1:22">
      <c r="A14" s="59"/>
      <c r="B14" s="155" t="s">
        <v>9</v>
      </c>
      <c r="C14" s="150" t="str">
        <f>IF(Cockpit!$C$22=0,"Onbekend",Cockpit!C15/Cockpit!$C$22*100%)</f>
        <v>Onbekend</v>
      </c>
      <c r="D14" s="156">
        <v>0.28129999999999999</v>
      </c>
      <c r="E14" s="142"/>
      <c r="F14" s="142"/>
      <c r="G14" s="142"/>
      <c r="H14" s="142"/>
      <c r="I14" s="142"/>
      <c r="J14" s="142"/>
      <c r="K14" s="142"/>
      <c r="L14" s="152"/>
      <c r="M14" s="142"/>
      <c r="N14" s="142"/>
      <c r="O14" s="142"/>
      <c r="P14" s="142"/>
      <c r="Q14" s="142"/>
      <c r="R14" s="142"/>
      <c r="S14" s="142"/>
      <c r="T14" s="142"/>
      <c r="U14" s="142"/>
      <c r="V14" s="9"/>
    </row>
    <row r="15" spans="1:22">
      <c r="A15" s="59"/>
      <c r="B15" s="153" t="s">
        <v>208</v>
      </c>
      <c r="C15" s="150" t="str">
        <f>IF(Cockpit!$C$22=0,"Onbekend",Cockpit!C16/Cockpit!$C$22*100%)</f>
        <v>Onbekend</v>
      </c>
      <c r="D15" s="154">
        <v>8.6800000000000002E-2</v>
      </c>
      <c r="E15" s="157"/>
      <c r="F15" s="142"/>
      <c r="G15" s="142"/>
      <c r="H15" s="142"/>
      <c r="I15" s="142"/>
      <c r="J15" s="142"/>
      <c r="K15" s="142"/>
      <c r="L15" s="142"/>
      <c r="M15" s="142"/>
      <c r="N15" s="142"/>
      <c r="O15" s="142"/>
      <c r="P15" s="142"/>
      <c r="Q15" s="142"/>
      <c r="R15" s="142"/>
      <c r="S15" s="142"/>
      <c r="T15" s="142"/>
      <c r="U15" s="142"/>
      <c r="V15" s="9"/>
    </row>
    <row r="16" spans="1:22">
      <c r="A16" s="59"/>
      <c r="B16" s="155" t="s">
        <v>10</v>
      </c>
      <c r="C16" s="150" t="str">
        <f>IF(Cockpit!$C$22=0,"Onbekend",Cockpit!C17/Cockpit!$C$22*100%)</f>
        <v>Onbekend</v>
      </c>
      <c r="D16" s="156">
        <v>7.0000000000000001E-3</v>
      </c>
      <c r="E16" s="142"/>
      <c r="F16" s="142"/>
      <c r="G16" s="142"/>
      <c r="H16" s="142"/>
      <c r="I16" s="142"/>
      <c r="J16" s="142"/>
      <c r="K16" s="142"/>
      <c r="L16" s="158"/>
      <c r="M16" s="142"/>
      <c r="N16" s="142"/>
      <c r="O16" s="142"/>
      <c r="P16" s="142"/>
      <c r="Q16" s="142"/>
      <c r="R16" s="142"/>
      <c r="S16" s="142"/>
      <c r="T16" s="142"/>
      <c r="U16" s="142"/>
      <c r="V16" s="9"/>
    </row>
    <row r="17" spans="1:26">
      <c r="A17" s="59"/>
      <c r="B17" s="153" t="s">
        <v>70</v>
      </c>
      <c r="C17" s="150" t="str">
        <f>IF(Cockpit!$C$22=0,"Onbekend",Cockpit!C18/Cockpit!$C$22*100%)</f>
        <v>Onbekend</v>
      </c>
      <c r="D17" s="154">
        <v>6.6299999999999998E-2</v>
      </c>
      <c r="E17" s="142"/>
      <c r="F17" s="142"/>
      <c r="G17" s="142"/>
      <c r="H17" s="142"/>
      <c r="I17" s="142"/>
      <c r="J17" s="142"/>
      <c r="K17" s="142"/>
      <c r="L17" s="142"/>
      <c r="M17" s="142"/>
      <c r="N17" s="142"/>
      <c r="O17" s="142"/>
      <c r="P17" s="142"/>
      <c r="Q17" s="142"/>
      <c r="R17" s="142"/>
      <c r="S17" s="142"/>
      <c r="T17" s="142"/>
      <c r="U17" s="142"/>
      <c r="V17" s="9"/>
    </row>
    <row r="18" spans="1:26">
      <c r="A18" s="59"/>
      <c r="B18" s="155" t="s">
        <v>8</v>
      </c>
      <c r="C18" s="150" t="str">
        <f>IF(Cockpit!$C$22=0,"Onbekend",Cockpit!C19/Cockpit!$C$22*100%)</f>
        <v>Onbekend</v>
      </c>
      <c r="D18" s="156">
        <v>2.8899999999999999E-2</v>
      </c>
      <c r="E18" s="142"/>
      <c r="F18" s="142"/>
      <c r="G18" s="142"/>
      <c r="H18" s="142"/>
      <c r="I18" s="142"/>
      <c r="J18" s="142"/>
      <c r="K18" s="142"/>
      <c r="L18" s="142"/>
      <c r="M18" s="142"/>
      <c r="N18" s="142"/>
      <c r="O18" s="142"/>
      <c r="P18" s="142"/>
      <c r="Q18" s="142"/>
      <c r="R18" s="142"/>
      <c r="S18" s="142"/>
      <c r="T18" s="142"/>
      <c r="U18" s="142"/>
      <c r="V18" s="9"/>
    </row>
    <row r="19" spans="1:26">
      <c r="A19" s="59"/>
      <c r="B19" s="155" t="s">
        <v>71</v>
      </c>
      <c r="C19" s="150" t="str">
        <f>IF(Cockpit!$C$22=0,"Onbekend",Cockpit!C20/Cockpit!$C$22*100%)</f>
        <v>Onbekend</v>
      </c>
      <c r="D19" s="156">
        <v>0.13900000000000001</v>
      </c>
      <c r="E19" s="142"/>
      <c r="F19" s="142"/>
      <c r="G19" s="142"/>
      <c r="H19" s="142"/>
      <c r="I19" s="142"/>
      <c r="J19" s="142"/>
      <c r="K19" s="142"/>
      <c r="L19" s="142"/>
      <c r="M19" s="142"/>
      <c r="N19" s="142"/>
      <c r="O19" s="142"/>
      <c r="P19" s="142"/>
      <c r="Q19" s="142"/>
      <c r="R19" s="142"/>
      <c r="S19" s="142"/>
      <c r="T19" s="142"/>
      <c r="U19" s="142"/>
      <c r="V19" s="9"/>
    </row>
    <row r="20" spans="1:26">
      <c r="A20" s="59"/>
      <c r="B20" s="153" t="s">
        <v>2</v>
      </c>
      <c r="C20" s="481" t="str">
        <f>IF(Cockpit!$C$22=0,"Onbekend",Cockpit!C21/Cockpit!$C$22*100%)</f>
        <v>Onbekend</v>
      </c>
      <c r="D20" s="154">
        <v>6.8000000000000005E-2</v>
      </c>
      <c r="E20" s="142"/>
      <c r="F20" s="142"/>
      <c r="G20" s="142"/>
      <c r="H20" s="142"/>
      <c r="I20" s="142"/>
      <c r="J20" s="142"/>
      <c r="K20" s="142"/>
      <c r="L20" s="142"/>
      <c r="M20" s="142"/>
      <c r="N20" s="142"/>
      <c r="O20" s="142"/>
      <c r="P20" s="142"/>
      <c r="Q20" s="142"/>
      <c r="R20" s="142"/>
      <c r="S20" s="142"/>
      <c r="T20" s="142"/>
      <c r="U20" s="142"/>
      <c r="V20" s="9"/>
    </row>
    <row r="21" spans="1:26">
      <c r="A21" s="59"/>
      <c r="B21" s="146" t="s">
        <v>3</v>
      </c>
      <c r="C21" s="158">
        <f>SUM(C12:C20)</f>
        <v>0</v>
      </c>
      <c r="D21" s="159">
        <f>SUM(D12:D20)</f>
        <v>1</v>
      </c>
      <c r="E21" s="142"/>
      <c r="F21" s="142"/>
      <c r="G21" s="142"/>
      <c r="H21" s="142"/>
      <c r="I21" s="142"/>
      <c r="J21" s="142"/>
      <c r="K21" s="142"/>
      <c r="L21" s="142"/>
      <c r="M21" s="142"/>
      <c r="N21" s="142"/>
      <c r="O21" s="142"/>
      <c r="P21" s="142"/>
      <c r="Q21" s="142"/>
      <c r="R21" s="142"/>
      <c r="S21" s="142"/>
      <c r="T21" s="142"/>
      <c r="U21" s="142"/>
      <c r="V21" s="9"/>
    </row>
    <row r="22" spans="1:26">
      <c r="A22" s="59"/>
      <c r="B22" s="142"/>
      <c r="C22" s="160"/>
      <c r="D22" s="142"/>
      <c r="E22" s="142"/>
      <c r="F22" s="142"/>
      <c r="G22" s="142"/>
      <c r="H22" s="142"/>
      <c r="I22" s="142"/>
      <c r="J22" s="142"/>
      <c r="K22" s="142"/>
      <c r="L22" s="142"/>
      <c r="M22" s="142"/>
      <c r="N22" s="142"/>
      <c r="O22" s="142"/>
      <c r="P22" s="142"/>
      <c r="Q22" s="142"/>
      <c r="R22" s="142"/>
      <c r="S22" s="142"/>
      <c r="T22" s="142"/>
      <c r="U22" s="142"/>
      <c r="V22" s="9"/>
    </row>
    <row r="23" spans="1:26">
      <c r="A23" s="59"/>
      <c r="B23" s="142"/>
      <c r="C23" s="160"/>
      <c r="D23" s="142"/>
      <c r="E23" s="142"/>
      <c r="F23" s="142"/>
      <c r="G23" s="142"/>
      <c r="H23" s="142"/>
      <c r="I23" s="142"/>
      <c r="J23" s="142"/>
      <c r="K23" s="142"/>
      <c r="L23" s="142"/>
      <c r="M23" s="142"/>
      <c r="N23" s="142"/>
      <c r="O23" s="142"/>
      <c r="P23" s="142"/>
      <c r="Q23" s="142"/>
      <c r="R23" s="142"/>
      <c r="S23" s="142"/>
      <c r="T23" s="142"/>
      <c r="U23" s="142"/>
      <c r="V23" s="9"/>
    </row>
    <row r="24" spans="1:26">
      <c r="A24" s="59"/>
      <c r="B24" s="142"/>
      <c r="C24" s="160"/>
      <c r="D24" s="142"/>
      <c r="E24" s="142"/>
      <c r="F24" s="142"/>
      <c r="G24" s="142"/>
      <c r="H24" s="142"/>
      <c r="I24" s="142"/>
      <c r="J24" s="142"/>
      <c r="K24" s="142"/>
      <c r="L24" s="142"/>
      <c r="M24" s="142"/>
      <c r="N24" s="142"/>
      <c r="O24" s="142"/>
      <c r="P24" s="142"/>
      <c r="Q24" s="142"/>
      <c r="R24" s="142"/>
      <c r="S24" s="142"/>
      <c r="T24" s="142"/>
      <c r="U24" s="142"/>
      <c r="V24" s="9"/>
    </row>
    <row r="25" spans="1:26">
      <c r="A25" s="59"/>
      <c r="B25" s="142"/>
      <c r="C25" s="142"/>
      <c r="D25" s="142"/>
      <c r="E25" s="142"/>
      <c r="F25" s="142"/>
      <c r="G25" s="142"/>
      <c r="H25" s="142"/>
      <c r="I25" s="142"/>
      <c r="J25" s="142"/>
      <c r="K25" s="142"/>
      <c r="L25" s="142"/>
      <c r="M25" s="142"/>
      <c r="N25" s="142"/>
      <c r="O25" s="142"/>
      <c r="P25" s="142"/>
      <c r="Q25" s="142"/>
      <c r="R25" s="142"/>
      <c r="S25" s="142"/>
      <c r="T25" s="142"/>
      <c r="U25" s="142"/>
      <c r="V25" s="9"/>
    </row>
    <row r="26" spans="1:26">
      <c r="A26" s="59"/>
      <c r="B26" s="142"/>
      <c r="C26" s="142"/>
      <c r="D26" s="142"/>
      <c r="E26" s="142"/>
      <c r="F26" s="142"/>
      <c r="G26" s="142"/>
      <c r="H26" s="142"/>
      <c r="I26" s="142"/>
      <c r="J26" s="142"/>
      <c r="K26" s="142"/>
      <c r="L26" s="142"/>
      <c r="M26" s="142"/>
      <c r="N26" s="142"/>
      <c r="O26" s="142"/>
      <c r="P26" s="142"/>
      <c r="Q26" s="142"/>
      <c r="R26" s="142"/>
      <c r="S26" s="142"/>
      <c r="T26" s="142"/>
      <c r="U26" s="142"/>
      <c r="V26" s="9"/>
    </row>
    <row r="27" spans="1:26">
      <c r="A27" s="59"/>
      <c r="B27" s="174"/>
      <c r="C27" s="142"/>
      <c r="D27" s="142"/>
      <c r="E27" s="142"/>
      <c r="F27" s="142"/>
      <c r="G27" s="142"/>
      <c r="H27" s="142"/>
      <c r="I27" s="142"/>
      <c r="J27" s="142"/>
      <c r="K27" s="142"/>
      <c r="L27" s="142"/>
      <c r="M27" s="142"/>
      <c r="N27" s="142"/>
      <c r="O27" s="142"/>
      <c r="P27" s="142"/>
      <c r="Q27" s="142"/>
      <c r="R27" s="142"/>
      <c r="S27" s="142"/>
      <c r="T27" s="142"/>
      <c r="U27" s="142"/>
      <c r="V27" s="9"/>
    </row>
    <row r="28" spans="1:26">
      <c r="A28" s="59"/>
      <c r="B28" s="143"/>
      <c r="C28" s="142"/>
      <c r="D28" s="142"/>
      <c r="E28" s="142"/>
      <c r="F28" s="142"/>
      <c r="G28" s="142"/>
      <c r="H28" s="142"/>
      <c r="I28" s="142"/>
      <c r="J28" s="142"/>
      <c r="K28" s="142"/>
      <c r="L28" s="148"/>
      <c r="M28" s="148"/>
      <c r="N28" s="148"/>
      <c r="O28" s="142"/>
      <c r="P28" s="142"/>
      <c r="Q28" s="142"/>
      <c r="R28" s="142"/>
      <c r="S28" s="142"/>
      <c r="T28" s="142"/>
      <c r="U28" s="142"/>
      <c r="V28" s="9"/>
    </row>
    <row r="29" spans="1:26" ht="15">
      <c r="A29" s="59"/>
      <c r="B29" s="145"/>
      <c r="C29" s="502" t="s">
        <v>223</v>
      </c>
      <c r="D29" s="502"/>
      <c r="E29" s="503"/>
      <c r="F29" s="502" t="s">
        <v>287</v>
      </c>
      <c r="G29" s="502"/>
      <c r="H29" s="502"/>
      <c r="I29" s="142"/>
      <c r="J29" s="142"/>
      <c r="K29" s="142"/>
      <c r="L29" s="148"/>
      <c r="M29" s="148"/>
      <c r="N29" s="148"/>
      <c r="O29" s="142"/>
      <c r="P29" s="142"/>
      <c r="Q29" s="142"/>
      <c r="R29" s="142"/>
      <c r="S29" s="142"/>
      <c r="T29" s="142"/>
      <c r="U29" s="142"/>
      <c r="V29" s="9"/>
    </row>
    <row r="30" spans="1:26">
      <c r="A30" s="59"/>
      <c r="B30" s="153"/>
      <c r="C30" s="436" t="s">
        <v>12</v>
      </c>
      <c r="D30" s="436" t="s">
        <v>12</v>
      </c>
      <c r="E30" s="437" t="s">
        <v>12</v>
      </c>
      <c r="F30" s="436" t="s">
        <v>12</v>
      </c>
      <c r="G30" s="436" t="s">
        <v>12</v>
      </c>
      <c r="H30" s="436" t="s">
        <v>12</v>
      </c>
      <c r="I30" s="142"/>
      <c r="J30" s="142"/>
      <c r="K30" s="142"/>
      <c r="L30" s="147"/>
      <c r="M30" s="147"/>
      <c r="N30" s="147"/>
      <c r="O30" s="142"/>
      <c r="P30" s="142"/>
      <c r="Q30" s="142"/>
      <c r="R30" s="142"/>
      <c r="S30" s="142"/>
      <c r="T30" s="142"/>
      <c r="U30" s="142"/>
      <c r="V30" s="9"/>
    </row>
    <row r="31" spans="1:26" ht="13.5" thickBot="1">
      <c r="A31" s="59"/>
      <c r="B31" s="171" t="s">
        <v>0</v>
      </c>
      <c r="C31" s="175" t="s">
        <v>64</v>
      </c>
      <c r="D31" s="175" t="s">
        <v>16</v>
      </c>
      <c r="E31" s="176" t="s">
        <v>73</v>
      </c>
      <c r="F31" s="175" t="s">
        <v>64</v>
      </c>
      <c r="G31" s="175" t="s">
        <v>16</v>
      </c>
      <c r="H31" s="175" t="s">
        <v>73</v>
      </c>
      <c r="I31" s="146"/>
      <c r="J31" s="142"/>
      <c r="K31" s="142"/>
      <c r="L31" s="152"/>
      <c r="M31" s="152"/>
      <c r="N31" s="152"/>
      <c r="O31" s="142"/>
      <c r="P31" s="142"/>
      <c r="Q31" s="142"/>
      <c r="R31" s="147"/>
      <c r="S31" s="147"/>
      <c r="T31" s="147"/>
      <c r="U31" s="142"/>
      <c r="V31" s="9"/>
      <c r="W31" s="52"/>
      <c r="X31" s="52"/>
      <c r="Y31" s="52"/>
      <c r="Z31" s="52"/>
    </row>
    <row r="32" spans="1:26">
      <c r="A32" s="59"/>
      <c r="B32" s="149" t="s">
        <v>7</v>
      </c>
      <c r="C32" s="151">
        <f>IF(ISBLANK(Cockpit!D13),"Onbekend",Cockpit!D13)</f>
        <v>0.60499999999999998</v>
      </c>
      <c r="D32" s="151">
        <f>IF(ISBLANK(Cockpit!E13),"Onbekend",Cockpit!E13)</f>
        <v>0.32500000000000001</v>
      </c>
      <c r="E32" s="151">
        <f>IF(ISBLANK(Cockpit!F13),"Onbekend",Cockpit!F13)</f>
        <v>7.0000000000000007E-2</v>
      </c>
      <c r="F32" s="151">
        <v>0.61</v>
      </c>
      <c r="G32" s="151">
        <v>0.33</v>
      </c>
      <c r="H32" s="151">
        <v>7.0000000000000007E-2</v>
      </c>
      <c r="I32" s="142"/>
      <c r="J32" s="142"/>
      <c r="K32" s="142"/>
      <c r="L32" s="142"/>
      <c r="M32" s="161"/>
      <c r="N32" s="161"/>
      <c r="O32" s="142"/>
      <c r="P32" s="142"/>
      <c r="Q32" s="142"/>
      <c r="R32" s="152"/>
      <c r="S32" s="152"/>
      <c r="T32" s="152"/>
      <c r="U32" s="142"/>
      <c r="V32" s="9"/>
      <c r="W32" s="50"/>
      <c r="X32" s="50"/>
      <c r="Y32" s="50"/>
      <c r="Z32" s="50"/>
    </row>
    <row r="33" spans="1:25">
      <c r="A33" s="59"/>
      <c r="B33" s="153" t="s">
        <v>63</v>
      </c>
      <c r="C33" s="151">
        <f>IF(ISBLANK(Cockpit!D14),"Onbekend",Cockpit!D14)</f>
        <v>0.79</v>
      </c>
      <c r="D33" s="151">
        <f>IF(ISBLANK(Cockpit!E14),"Onbekend",Cockpit!E14)</f>
        <v>0.21</v>
      </c>
      <c r="E33" s="151">
        <f>IF(ISBLANK(Cockpit!F14),"Onbekend",Cockpit!F14)</f>
        <v>0</v>
      </c>
      <c r="F33" s="154">
        <v>0.79</v>
      </c>
      <c r="G33" s="154">
        <v>0.21</v>
      </c>
      <c r="H33" s="154">
        <v>0</v>
      </c>
      <c r="I33" s="142"/>
      <c r="J33" s="142"/>
      <c r="K33" s="142"/>
      <c r="L33" s="152"/>
      <c r="M33" s="152"/>
      <c r="N33" s="152"/>
      <c r="O33" s="142"/>
      <c r="P33" s="142"/>
      <c r="Q33" s="142"/>
      <c r="R33" s="152"/>
      <c r="S33" s="152"/>
      <c r="T33" s="152"/>
      <c r="U33" s="142"/>
      <c r="V33" s="9"/>
      <c r="W33" s="50"/>
      <c r="X33" s="50"/>
      <c r="Y33" s="50"/>
    </row>
    <row r="34" spans="1:25">
      <c r="A34" s="59"/>
      <c r="B34" s="155" t="s">
        <v>9</v>
      </c>
      <c r="C34" s="151">
        <f>IF(ISBLANK(Cockpit!D15),"Onbekend",Cockpit!D15)</f>
        <v>0.88500000000000001</v>
      </c>
      <c r="D34" s="151">
        <f>IF(ISBLANK(Cockpit!E15),"Onbekend",Cockpit!E15)</f>
        <v>8.4000000000000005E-2</v>
      </c>
      <c r="E34" s="151">
        <f>IF(ISBLANK(Cockpit!F15),"Onbekend",Cockpit!F15)</f>
        <v>3.1E-2</v>
      </c>
      <c r="F34" s="156">
        <v>0.88</v>
      </c>
      <c r="G34" s="156">
        <v>0.08</v>
      </c>
      <c r="H34" s="156">
        <v>0.03</v>
      </c>
      <c r="I34" s="142"/>
      <c r="J34" s="142"/>
      <c r="K34" s="142"/>
      <c r="L34" s="162"/>
      <c r="M34" s="162"/>
      <c r="N34" s="162"/>
      <c r="O34" s="142"/>
      <c r="P34" s="142"/>
      <c r="Q34" s="142"/>
      <c r="R34" s="152"/>
      <c r="S34" s="152"/>
      <c r="T34" s="152"/>
      <c r="U34" s="142"/>
      <c r="V34" s="9"/>
      <c r="W34" s="51"/>
      <c r="X34" s="50"/>
      <c r="Y34" s="50"/>
    </row>
    <row r="35" spans="1:25">
      <c r="A35" s="59"/>
      <c r="B35" s="153" t="s">
        <v>208</v>
      </c>
      <c r="C35" s="151">
        <f>IF(ISBLANK(Cockpit!D16),"Onbekend",Cockpit!D16)</f>
        <v>0.03</v>
      </c>
      <c r="D35" s="151">
        <f>IF(ISBLANK(Cockpit!E16),"Onbekend",Cockpit!E16)</f>
        <v>0.81</v>
      </c>
      <c r="E35" s="151">
        <f>IF(ISBLANK(Cockpit!F16),"Onbekend",Cockpit!F16)</f>
        <v>0.16</v>
      </c>
      <c r="F35" s="154">
        <v>0.03</v>
      </c>
      <c r="G35" s="154">
        <v>0.81</v>
      </c>
      <c r="H35" s="154">
        <v>0.16</v>
      </c>
      <c r="I35" s="142"/>
      <c r="J35" s="142"/>
      <c r="K35" s="142"/>
      <c r="L35" s="162"/>
      <c r="M35" s="162"/>
      <c r="N35" s="162"/>
      <c r="O35" s="142"/>
      <c r="P35" s="142"/>
      <c r="Q35" s="142"/>
      <c r="R35" s="152"/>
      <c r="S35" s="152"/>
      <c r="T35" s="152"/>
      <c r="U35" s="142"/>
      <c r="V35" s="9"/>
      <c r="W35" s="50"/>
      <c r="X35" s="50"/>
      <c r="Y35" s="50"/>
    </row>
    <row r="36" spans="1:25">
      <c r="A36" s="59"/>
      <c r="B36" s="155" t="s">
        <v>10</v>
      </c>
      <c r="C36" s="151">
        <f>IF(ISBLANK(Cockpit!D17),"Onbekend",Cockpit!D17)</f>
        <v>0.89</v>
      </c>
      <c r="D36" s="151">
        <f>IF(ISBLANK(Cockpit!E17),"Onbekend",Cockpit!E17)</f>
        <v>0.1</v>
      </c>
      <c r="E36" s="151">
        <f>IF(ISBLANK(Cockpit!F17),"Onbekend",Cockpit!F17)</f>
        <v>0.01</v>
      </c>
      <c r="F36" s="156">
        <v>0.89</v>
      </c>
      <c r="G36" s="156">
        <v>0.1</v>
      </c>
      <c r="H36" s="156">
        <v>0.01</v>
      </c>
      <c r="I36" s="142"/>
      <c r="J36" s="142"/>
      <c r="K36" s="142"/>
      <c r="L36" s="152"/>
      <c r="M36" s="152"/>
      <c r="N36" s="152"/>
      <c r="O36" s="142"/>
      <c r="P36" s="142"/>
      <c r="Q36" s="142"/>
      <c r="R36" s="152"/>
      <c r="S36" s="152"/>
      <c r="T36" s="152"/>
      <c r="U36" s="142"/>
      <c r="V36" s="9"/>
    </row>
    <row r="37" spans="1:25">
      <c r="A37" s="59"/>
      <c r="B37" s="153" t="s">
        <v>70</v>
      </c>
      <c r="C37" s="151">
        <f>IF(ISBLANK(Cockpit!D18),"Onbekend",Cockpit!D18)</f>
        <v>0.80500000000000005</v>
      </c>
      <c r="D37" s="151">
        <f>IF(ISBLANK(Cockpit!E18),"Onbekend",Cockpit!E18)</f>
        <v>0.185</v>
      </c>
      <c r="E37" s="151">
        <f>IF(ISBLANK(Cockpit!F18),"Onbekend",Cockpit!F18)</f>
        <v>0.01</v>
      </c>
      <c r="F37" s="154">
        <v>0.81</v>
      </c>
      <c r="G37" s="154">
        <v>0.19</v>
      </c>
      <c r="H37" s="154">
        <v>0.01</v>
      </c>
      <c r="I37" s="142"/>
      <c r="J37" s="142"/>
      <c r="K37" s="142"/>
      <c r="L37" s="152"/>
      <c r="M37" s="152"/>
      <c r="N37" s="152"/>
      <c r="O37" s="142"/>
      <c r="P37" s="142"/>
      <c r="Q37" s="142"/>
      <c r="R37" s="152"/>
      <c r="S37" s="152"/>
      <c r="T37" s="152"/>
      <c r="U37" s="142"/>
      <c r="V37" s="9"/>
      <c r="W37" s="53"/>
      <c r="X37" s="53"/>
      <c r="Y37" s="53"/>
    </row>
    <row r="38" spans="1:25">
      <c r="A38" s="59"/>
      <c r="B38" s="155" t="s">
        <v>8</v>
      </c>
      <c r="C38" s="151">
        <f>IF(ISBLANK(Cockpit!D19),"Onbekend",Cockpit!D19)</f>
        <v>0.96</v>
      </c>
      <c r="D38" s="151">
        <f>IF(ISBLANK(Cockpit!E19),"Onbekend",Cockpit!E19)</f>
        <v>0.02</v>
      </c>
      <c r="E38" s="151">
        <f>IF(ISBLANK(Cockpit!F19),"Onbekend",Cockpit!F19)</f>
        <v>0.02</v>
      </c>
      <c r="F38" s="156">
        <v>0.96</v>
      </c>
      <c r="G38" s="156">
        <v>0.02</v>
      </c>
      <c r="H38" s="156">
        <v>0.02</v>
      </c>
      <c r="I38" s="142"/>
      <c r="J38" s="142"/>
      <c r="K38" s="142"/>
      <c r="L38" s="152"/>
      <c r="M38" s="152"/>
      <c r="N38" s="152"/>
      <c r="O38" s="142"/>
      <c r="P38" s="142"/>
      <c r="Q38" s="142"/>
      <c r="R38" s="152"/>
      <c r="S38" s="152"/>
      <c r="T38" s="152"/>
      <c r="U38" s="142"/>
      <c r="V38" s="9"/>
    </row>
    <row r="39" spans="1:25">
      <c r="A39" s="59"/>
      <c r="B39" s="153" t="s">
        <v>71</v>
      </c>
      <c r="C39" s="151">
        <f>IF(ISBLANK(Cockpit!D20),"Onbekend",Cockpit!D20)</f>
        <v>0.94</v>
      </c>
      <c r="D39" s="151">
        <f>IF(ISBLANK(Cockpit!E20),"Onbekend",Cockpit!E20)</f>
        <v>0.04</v>
      </c>
      <c r="E39" s="151">
        <f>IF(ISBLANK(Cockpit!F20),"Onbekend",Cockpit!F20)</f>
        <v>0.02</v>
      </c>
      <c r="F39" s="154">
        <v>0.94</v>
      </c>
      <c r="G39" s="154">
        <v>0.04</v>
      </c>
      <c r="H39" s="154">
        <v>0.02</v>
      </c>
      <c r="I39" s="142"/>
      <c r="J39" s="142"/>
      <c r="K39" s="142"/>
      <c r="L39" s="142"/>
      <c r="M39" s="142"/>
      <c r="N39" s="142"/>
      <c r="O39" s="142"/>
      <c r="P39" s="142"/>
      <c r="Q39" s="142"/>
      <c r="R39" s="152"/>
      <c r="S39" s="152"/>
      <c r="T39" s="152"/>
      <c r="U39" s="142"/>
      <c r="V39" s="9"/>
    </row>
    <row r="40" spans="1:25">
      <c r="A40" s="59"/>
      <c r="B40" s="155" t="s">
        <v>11</v>
      </c>
      <c r="C40" s="151">
        <f>IF(ISBLANK(Cockpit!D21),"Onbekend",Cockpit!D21)</f>
        <v>0.5</v>
      </c>
      <c r="D40" s="151">
        <f>IF(ISBLANK(Cockpit!E21),"Onbekend",Cockpit!E21)</f>
        <v>0.25</v>
      </c>
      <c r="E40" s="151">
        <f>IF(ISBLANK(Cockpit!F21),"Onbekend",Cockpit!F21)</f>
        <v>0.25</v>
      </c>
      <c r="F40" s="156">
        <v>0.54</v>
      </c>
      <c r="G40" s="156">
        <v>0.08</v>
      </c>
      <c r="H40" s="156">
        <v>0.38</v>
      </c>
      <c r="I40" s="142"/>
      <c r="J40" s="142"/>
      <c r="K40" s="142"/>
      <c r="L40" s="142"/>
      <c r="M40" s="142"/>
      <c r="N40" s="142"/>
      <c r="O40" s="142"/>
      <c r="P40" s="142"/>
      <c r="Q40" s="142"/>
      <c r="R40" s="152"/>
      <c r="S40" s="152"/>
      <c r="T40" s="152"/>
      <c r="U40" s="142"/>
      <c r="V40" s="9"/>
    </row>
    <row r="41" spans="1:25">
      <c r="A41" s="59"/>
      <c r="B41" s="142"/>
      <c r="C41" s="142"/>
      <c r="D41" s="142"/>
      <c r="E41" s="144"/>
      <c r="F41" s="142"/>
      <c r="G41" s="142"/>
      <c r="H41" s="142"/>
      <c r="I41" s="142"/>
      <c r="J41" s="142"/>
      <c r="K41" s="142"/>
      <c r="L41" s="142"/>
      <c r="M41" s="142"/>
      <c r="N41" s="142"/>
      <c r="O41" s="142"/>
      <c r="P41" s="142"/>
      <c r="Q41" s="142"/>
      <c r="R41" s="152"/>
      <c r="S41" s="152"/>
      <c r="T41" s="152"/>
      <c r="U41" s="142"/>
      <c r="V41" s="9"/>
    </row>
    <row r="42" spans="1:25">
      <c r="A42" s="59"/>
      <c r="B42" s="142"/>
      <c r="C42" s="142"/>
      <c r="D42" s="142"/>
      <c r="E42" s="142"/>
      <c r="F42" s="142"/>
      <c r="G42" s="142"/>
      <c r="H42" s="142"/>
      <c r="I42" s="142"/>
      <c r="J42" s="142"/>
      <c r="K42" s="142"/>
      <c r="L42" s="142"/>
      <c r="M42" s="142"/>
      <c r="N42" s="142"/>
      <c r="O42" s="163"/>
      <c r="P42" s="163"/>
      <c r="Q42" s="163"/>
      <c r="R42" s="164"/>
      <c r="S42" s="164"/>
      <c r="T42" s="164"/>
      <c r="U42" s="142"/>
      <c r="V42" s="9"/>
    </row>
    <row r="43" spans="1:25">
      <c r="A43" s="59"/>
      <c r="B43" s="142"/>
      <c r="C43" s="142"/>
      <c r="D43" s="142"/>
      <c r="E43" s="142"/>
      <c r="F43" s="142"/>
      <c r="G43" s="142"/>
      <c r="H43" s="142"/>
      <c r="I43" s="142"/>
      <c r="J43" s="142"/>
      <c r="K43" s="142"/>
      <c r="L43" s="142"/>
      <c r="M43" s="142"/>
      <c r="N43" s="142"/>
      <c r="O43" s="142"/>
      <c r="P43" s="142"/>
      <c r="Q43" s="142"/>
      <c r="R43" s="142"/>
      <c r="S43" s="142"/>
      <c r="T43" s="142"/>
      <c r="U43" s="142"/>
      <c r="V43" s="9"/>
    </row>
    <row r="44" spans="1:25">
      <c r="A44" s="59"/>
      <c r="B44" s="142"/>
      <c r="C44" s="142"/>
      <c r="D44" s="142"/>
      <c r="E44" s="142"/>
      <c r="F44" s="142"/>
      <c r="G44" s="142"/>
      <c r="H44" s="142"/>
      <c r="I44" s="142"/>
      <c r="J44" s="142"/>
      <c r="K44" s="142"/>
      <c r="L44" s="142"/>
      <c r="M44" s="142"/>
      <c r="N44" s="142"/>
      <c r="O44" s="142"/>
      <c r="P44" s="142"/>
      <c r="Q44" s="142"/>
      <c r="R44" s="142"/>
      <c r="S44" s="142"/>
      <c r="T44" s="142"/>
      <c r="U44" s="142"/>
      <c r="V44" s="9"/>
    </row>
    <row r="45" spans="1:25">
      <c r="A45" s="59"/>
      <c r="B45" s="174"/>
      <c r="C45" s="142"/>
      <c r="D45" s="142"/>
      <c r="E45" s="142"/>
      <c r="F45" s="142"/>
      <c r="G45" s="142"/>
      <c r="H45" s="142"/>
      <c r="I45" s="142"/>
      <c r="J45" s="142"/>
      <c r="K45" s="142"/>
      <c r="L45" s="142"/>
      <c r="M45" s="142"/>
      <c r="N45" s="142"/>
      <c r="O45" s="142"/>
      <c r="P45" s="142"/>
      <c r="Q45" s="142"/>
      <c r="R45" s="142"/>
      <c r="S45" s="142"/>
      <c r="T45" s="142"/>
      <c r="U45" s="142"/>
      <c r="V45" s="9"/>
    </row>
    <row r="46" spans="1:25">
      <c r="A46" s="59"/>
      <c r="B46" s="174"/>
      <c r="C46" s="142"/>
      <c r="D46" s="142"/>
      <c r="E46" s="142"/>
      <c r="F46" s="142"/>
      <c r="G46" s="142"/>
      <c r="H46" s="142"/>
      <c r="I46" s="142"/>
      <c r="J46" s="142"/>
      <c r="K46" s="142"/>
      <c r="L46" s="142"/>
      <c r="M46" s="142"/>
      <c r="N46" s="142"/>
      <c r="O46" s="142"/>
      <c r="P46" s="142"/>
      <c r="Q46" s="142"/>
      <c r="R46" s="142"/>
      <c r="S46" s="142"/>
      <c r="T46" s="142"/>
      <c r="U46" s="142"/>
      <c r="V46" s="9"/>
    </row>
    <row r="47" spans="1:25" ht="28.15" customHeight="1">
      <c r="A47" s="59"/>
      <c r="B47" s="145"/>
      <c r="C47" s="504" t="s">
        <v>303</v>
      </c>
      <c r="D47" s="504"/>
      <c r="E47" s="504"/>
      <c r="F47" s="142"/>
      <c r="G47" s="142"/>
      <c r="H47" s="142"/>
      <c r="I47" s="142"/>
      <c r="J47" s="142"/>
      <c r="K47" s="142"/>
      <c r="L47" s="142"/>
      <c r="M47" s="142"/>
      <c r="N47" s="142"/>
      <c r="O47" s="142"/>
      <c r="P47" s="142"/>
      <c r="Q47" s="142"/>
      <c r="R47" s="142"/>
      <c r="S47" s="142"/>
      <c r="T47" s="142"/>
      <c r="U47" s="142"/>
      <c r="V47" s="9"/>
    </row>
    <row r="48" spans="1:25">
      <c r="A48" s="59"/>
      <c r="B48" s="153"/>
      <c r="C48" s="436" t="s">
        <v>12</v>
      </c>
      <c r="D48" s="436" t="s">
        <v>12</v>
      </c>
      <c r="E48" s="436" t="s">
        <v>12</v>
      </c>
      <c r="F48" s="177"/>
      <c r="G48" s="142"/>
      <c r="H48" s="142"/>
      <c r="I48" s="142"/>
      <c r="J48" s="142"/>
      <c r="K48" s="144"/>
      <c r="L48" s="142"/>
      <c r="M48" s="142"/>
      <c r="N48" s="142"/>
      <c r="O48" s="142"/>
      <c r="P48" s="142"/>
      <c r="Q48" s="142"/>
      <c r="R48" s="142"/>
      <c r="S48" s="142"/>
      <c r="T48" s="142"/>
      <c r="U48" s="142"/>
      <c r="V48" s="9"/>
    </row>
    <row r="49" spans="1:22" s="49" customFormat="1" ht="13.5" thickBot="1">
      <c r="A49" s="62"/>
      <c r="B49" s="178" t="s">
        <v>0</v>
      </c>
      <c r="C49" s="179" t="s">
        <v>64</v>
      </c>
      <c r="D49" s="165" t="s">
        <v>16</v>
      </c>
      <c r="E49" s="179" t="s">
        <v>73</v>
      </c>
      <c r="F49" s="180"/>
      <c r="G49" s="181"/>
      <c r="H49" s="166"/>
      <c r="I49" s="166"/>
      <c r="J49" s="144"/>
      <c r="K49" s="166"/>
      <c r="L49" s="166"/>
      <c r="M49" s="166"/>
      <c r="N49" s="166"/>
      <c r="O49" s="166"/>
      <c r="P49" s="166"/>
      <c r="Q49" s="142"/>
      <c r="R49" s="166"/>
      <c r="S49" s="166"/>
      <c r="T49" s="166"/>
      <c r="U49" s="166"/>
      <c r="V49" s="56"/>
    </row>
    <row r="50" spans="1:22">
      <c r="A50" s="59"/>
      <c r="B50" s="149" t="s">
        <v>7</v>
      </c>
      <c r="C50" s="151">
        <f>'Percentages scenario zonder kw'!D19</f>
        <v>0.20747361319821958</v>
      </c>
      <c r="D50" s="151">
        <f>'Percentages scenario zonder kw'!E19</f>
        <v>0.15244901232376742</v>
      </c>
      <c r="E50" s="151">
        <f>'Percentages scenario zonder kw'!F19</f>
        <v>0.64007737447801294</v>
      </c>
      <c r="F50" s="167"/>
      <c r="G50" s="168"/>
      <c r="H50" s="142"/>
      <c r="I50" s="142"/>
      <c r="J50" s="142"/>
      <c r="K50" s="142"/>
      <c r="L50" s="142"/>
      <c r="M50" s="142"/>
      <c r="N50" s="142"/>
      <c r="O50" s="142"/>
      <c r="P50" s="142"/>
      <c r="Q50" s="142"/>
      <c r="R50" s="142"/>
      <c r="S50" s="142"/>
      <c r="T50" s="142"/>
      <c r="U50" s="142"/>
      <c r="V50" s="9"/>
    </row>
    <row r="51" spans="1:22">
      <c r="A51" s="59"/>
      <c r="B51" s="153" t="s">
        <v>63</v>
      </c>
      <c r="C51" s="154">
        <f>'Percentages scenario zonder kw'!D20</f>
        <v>0.29334133855464578</v>
      </c>
      <c r="D51" s="154">
        <f>'Percentages scenario zonder kw'!E20</f>
        <v>0.45273700544722933</v>
      </c>
      <c r="E51" s="154">
        <f>'Percentages scenario zonder kw'!F20</f>
        <v>0.25392165599812483</v>
      </c>
      <c r="F51" s="167"/>
      <c r="G51" s="168"/>
      <c r="H51" s="142"/>
      <c r="I51" s="142"/>
      <c r="J51" s="142"/>
      <c r="K51" s="142"/>
      <c r="L51" s="142"/>
      <c r="M51" s="142"/>
      <c r="N51" s="142"/>
      <c r="O51" s="142"/>
      <c r="P51" s="142"/>
      <c r="Q51" s="142"/>
      <c r="R51" s="142"/>
      <c r="S51" s="142"/>
      <c r="T51" s="142"/>
      <c r="U51" s="142"/>
      <c r="V51" s="9"/>
    </row>
    <row r="52" spans="1:22">
      <c r="A52" s="59"/>
      <c r="B52" s="155" t="s">
        <v>9</v>
      </c>
      <c r="C52" s="156">
        <f>'Percentages scenario zonder kw'!D21</f>
        <v>0.27082417582417584</v>
      </c>
      <c r="D52" s="156">
        <f>'Percentages scenario zonder kw'!E21</f>
        <v>0.17930553053503873</v>
      </c>
      <c r="E52" s="156">
        <f>'Percentages scenario zonder kw'!F21</f>
        <v>0.54987029364078543</v>
      </c>
      <c r="F52" s="167"/>
      <c r="G52" s="168"/>
      <c r="H52" s="142"/>
      <c r="I52" s="142"/>
      <c r="J52" s="142"/>
      <c r="K52" s="142"/>
      <c r="L52" s="142"/>
      <c r="M52" s="142"/>
      <c r="N52" s="142"/>
      <c r="O52" s="142"/>
      <c r="P52" s="142"/>
      <c r="Q52" s="142"/>
      <c r="R52" s="142"/>
      <c r="S52" s="142"/>
      <c r="T52" s="142"/>
      <c r="U52" s="142"/>
      <c r="V52" s="9"/>
    </row>
    <row r="53" spans="1:22">
      <c r="A53" s="59"/>
      <c r="B53" s="153" t="s">
        <v>208</v>
      </c>
      <c r="C53" s="154">
        <f>'Percentages scenario zonder kw'!D22</f>
        <v>5.7122580645161292E-2</v>
      </c>
      <c r="D53" s="154">
        <f>'Percentages scenario zonder kw'!E22</f>
        <v>0.41615333475753041</v>
      </c>
      <c r="E53" s="154">
        <f>'Percentages scenario zonder kw'!F22</f>
        <v>0.52672408459730824</v>
      </c>
      <c r="F53" s="167"/>
      <c r="G53" s="168"/>
      <c r="H53" s="142"/>
      <c r="I53" s="142"/>
      <c r="J53" s="142"/>
      <c r="K53" s="142"/>
      <c r="L53" s="142"/>
      <c r="M53" s="142"/>
      <c r="N53" s="142"/>
      <c r="O53" s="142"/>
      <c r="P53" s="142"/>
      <c r="Q53" s="142"/>
      <c r="R53" s="142"/>
      <c r="S53" s="142"/>
      <c r="T53" s="142"/>
      <c r="U53" s="142"/>
      <c r="V53" s="9"/>
    </row>
    <row r="54" spans="1:22">
      <c r="A54" s="59"/>
      <c r="B54" s="155" t="s">
        <v>10</v>
      </c>
      <c r="C54" s="156">
        <f>'Percentages scenario zonder kw'!D23</f>
        <v>0.56365740740740733</v>
      </c>
      <c r="D54" s="156">
        <f>'Percentages scenario zonder kw'!E23</f>
        <v>0.34907407407407404</v>
      </c>
      <c r="E54" s="156">
        <f>'Percentages scenario zonder kw'!F23</f>
        <v>8.7268518518518509E-2</v>
      </c>
      <c r="F54" s="167"/>
      <c r="G54" s="168"/>
      <c r="H54" s="142"/>
      <c r="I54" s="142"/>
      <c r="J54" s="142"/>
      <c r="K54" s="142"/>
      <c r="L54" s="142"/>
      <c r="M54" s="142"/>
      <c r="N54" s="142"/>
      <c r="O54" s="142"/>
      <c r="P54" s="142"/>
      <c r="Q54" s="142"/>
      <c r="R54" s="142"/>
      <c r="S54" s="142"/>
      <c r="T54" s="142"/>
      <c r="U54" s="142"/>
      <c r="V54" s="9"/>
    </row>
    <row r="55" spans="1:22">
      <c r="A55" s="59"/>
      <c r="B55" s="153" t="s">
        <v>70</v>
      </c>
      <c r="C55" s="154">
        <f>'Percentages scenario zonder kw'!D24</f>
        <v>0.30410949919919128</v>
      </c>
      <c r="D55" s="154">
        <f>'Percentages scenario zonder kw'!E24</f>
        <v>0.66109597576076828</v>
      </c>
      <c r="E55" s="154">
        <f>'Percentages scenario zonder kw'!F24</f>
        <v>3.4794525040040436E-2</v>
      </c>
      <c r="F55" s="167"/>
      <c r="G55" s="168"/>
      <c r="H55" s="142"/>
      <c r="I55" s="142"/>
      <c r="J55" s="142"/>
      <c r="K55" s="142"/>
      <c r="L55" s="142"/>
      <c r="M55" s="142"/>
      <c r="N55" s="142"/>
      <c r="O55" s="142"/>
      <c r="P55" s="142"/>
      <c r="Q55" s="142"/>
      <c r="R55" s="142"/>
      <c r="S55" s="142"/>
      <c r="T55" s="142"/>
      <c r="U55" s="142"/>
      <c r="V55" s="9"/>
    </row>
    <row r="56" spans="1:22">
      <c r="A56" s="59"/>
      <c r="B56" s="155" t="s">
        <v>8</v>
      </c>
      <c r="C56" s="156">
        <f>'Percentages scenario zonder kw'!D25</f>
        <v>0.31758249195036414</v>
      </c>
      <c r="D56" s="156">
        <f>'Percentages scenario zonder kw'!E25</f>
        <v>0.34120875402481787</v>
      </c>
      <c r="E56" s="156">
        <f>'Percentages scenario zonder kw'!F25</f>
        <v>0.34120875402481787</v>
      </c>
      <c r="F56" s="167"/>
      <c r="G56" s="168"/>
      <c r="H56" s="142"/>
      <c r="I56" s="142"/>
      <c r="J56" s="142"/>
      <c r="K56" s="142"/>
      <c r="L56" s="142"/>
      <c r="M56" s="142"/>
      <c r="N56" s="142"/>
      <c r="O56" s="142"/>
      <c r="P56" s="142"/>
      <c r="Q56" s="142"/>
      <c r="R56" s="142"/>
      <c r="S56" s="142"/>
      <c r="T56" s="142"/>
      <c r="U56" s="142"/>
      <c r="V56" s="9"/>
    </row>
    <row r="57" spans="1:22">
      <c r="A57" s="59"/>
      <c r="B57" s="155" t="s">
        <v>71</v>
      </c>
      <c r="C57" s="156">
        <f>'Percentages scenario zonder kw'!D26</f>
        <v>0.56690955936790743</v>
      </c>
      <c r="D57" s="156">
        <f>'Percentages scenario zonder kw'!E26</f>
        <v>0.2165452203160462</v>
      </c>
      <c r="E57" s="156">
        <f>'Percentages scenario zonder kw'!F26</f>
        <v>0.2165452203160462</v>
      </c>
      <c r="F57" s="167"/>
      <c r="G57" s="168"/>
      <c r="H57" s="142"/>
      <c r="I57" s="142"/>
      <c r="J57" s="142"/>
      <c r="K57" s="142"/>
      <c r="L57" s="142"/>
      <c r="M57" s="142"/>
      <c r="N57" s="142"/>
      <c r="O57" s="142"/>
      <c r="P57" s="142"/>
      <c r="Q57" s="142"/>
      <c r="R57" s="142"/>
      <c r="S57" s="142"/>
      <c r="T57" s="142"/>
      <c r="U57" s="142"/>
      <c r="V57" s="9"/>
    </row>
    <row r="58" spans="1:22">
      <c r="A58" s="59"/>
      <c r="B58" s="155" t="s">
        <v>11</v>
      </c>
      <c r="C58" s="156">
        <f>'Percentages scenario zonder kw'!D27</f>
        <v>0.32262758326838409</v>
      </c>
      <c r="D58" s="156">
        <f>'Percentages scenario zonder kw'!E27</f>
        <v>0.34607111340490904</v>
      </c>
      <c r="E58" s="156">
        <f>'Percentages scenario zonder kw'!F27</f>
        <v>0.33130130332670682</v>
      </c>
      <c r="F58" s="159"/>
      <c r="G58" s="169"/>
      <c r="H58" s="168"/>
      <c r="I58" s="142"/>
      <c r="J58" s="142"/>
      <c r="K58" s="142"/>
      <c r="L58" s="142"/>
      <c r="M58" s="142"/>
      <c r="N58" s="142"/>
      <c r="O58" s="142"/>
      <c r="P58" s="142"/>
      <c r="Q58" s="142"/>
      <c r="R58" s="142"/>
      <c r="S58" s="142"/>
      <c r="T58" s="142"/>
      <c r="U58" s="142"/>
      <c r="V58" s="9"/>
    </row>
    <row r="59" spans="1:22">
      <c r="A59" s="59"/>
      <c r="B59" s="142"/>
      <c r="C59" s="142"/>
      <c r="D59" s="142"/>
      <c r="E59" s="142"/>
      <c r="F59" s="142"/>
      <c r="G59" s="142"/>
      <c r="H59" s="142"/>
      <c r="I59" s="142"/>
      <c r="J59" s="142"/>
      <c r="K59" s="142"/>
      <c r="L59" s="142"/>
      <c r="M59" s="142"/>
      <c r="N59" s="142"/>
      <c r="O59" s="142"/>
      <c r="P59" s="142"/>
      <c r="Q59" s="142"/>
      <c r="R59" s="142"/>
      <c r="S59" s="142"/>
      <c r="T59" s="142"/>
      <c r="U59" s="142"/>
      <c r="V59" s="9"/>
    </row>
    <row r="60" spans="1:22">
      <c r="A60" s="9"/>
      <c r="B60" s="142"/>
      <c r="C60" s="142"/>
      <c r="D60" s="142"/>
      <c r="E60" s="142"/>
      <c r="F60" s="142"/>
      <c r="G60" s="142"/>
      <c r="H60" s="142"/>
      <c r="I60" s="142"/>
      <c r="J60" s="142"/>
      <c r="K60" s="142"/>
      <c r="L60" s="142"/>
      <c r="M60" s="142"/>
      <c r="N60" s="142"/>
      <c r="O60" s="142"/>
      <c r="P60" s="142"/>
      <c r="Q60" s="142"/>
      <c r="R60" s="142"/>
      <c r="S60" s="142"/>
      <c r="T60" s="142"/>
      <c r="U60" s="142"/>
      <c r="V60" s="9"/>
    </row>
    <row r="61" spans="1:22">
      <c r="A61" s="9"/>
      <c r="B61" s="142"/>
      <c r="C61" s="142"/>
      <c r="D61" s="142"/>
      <c r="E61" s="142"/>
      <c r="F61" s="142"/>
      <c r="G61" s="142"/>
      <c r="H61" s="142"/>
      <c r="I61" s="142"/>
      <c r="J61" s="142"/>
      <c r="K61" s="142"/>
      <c r="L61" s="142"/>
      <c r="M61" s="142"/>
      <c r="N61" s="142"/>
      <c r="O61" s="142"/>
      <c r="P61" s="142"/>
      <c r="Q61" s="142"/>
      <c r="R61" s="142"/>
      <c r="S61" s="142"/>
      <c r="T61" s="142"/>
      <c r="U61" s="142"/>
      <c r="V61" s="9"/>
    </row>
    <row r="62" spans="1:22">
      <c r="A62" s="9"/>
      <c r="B62" s="142"/>
      <c r="C62" s="142"/>
      <c r="D62" s="142"/>
      <c r="E62" s="142"/>
      <c r="F62" s="142"/>
      <c r="G62" s="142"/>
      <c r="H62" s="142"/>
      <c r="I62" s="142"/>
      <c r="J62" s="142"/>
      <c r="K62" s="142"/>
      <c r="L62" s="142"/>
      <c r="M62" s="142"/>
      <c r="N62" s="142"/>
      <c r="O62" s="142"/>
      <c r="P62" s="142"/>
      <c r="Q62" s="142"/>
      <c r="R62" s="142"/>
      <c r="S62" s="142"/>
      <c r="T62" s="142"/>
      <c r="U62" s="142"/>
      <c r="V62" s="9"/>
    </row>
    <row r="63" spans="1:22">
      <c r="A63" s="9"/>
      <c r="B63" s="142"/>
      <c r="C63" s="142"/>
      <c r="D63" s="142"/>
      <c r="E63" s="142"/>
      <c r="F63" s="142"/>
      <c r="G63" s="142"/>
      <c r="H63" s="142"/>
      <c r="I63" s="142"/>
      <c r="J63" s="142"/>
      <c r="K63" s="142"/>
      <c r="L63" s="142"/>
      <c r="M63" s="142"/>
      <c r="N63" s="142"/>
      <c r="O63" s="142"/>
      <c r="P63" s="142"/>
      <c r="Q63" s="142"/>
      <c r="R63" s="142"/>
      <c r="S63" s="142"/>
      <c r="T63" s="142"/>
      <c r="U63" s="142"/>
      <c r="V63" s="9"/>
    </row>
    <row r="64" spans="1:22">
      <c r="B64" s="170"/>
      <c r="C64" s="170"/>
      <c r="D64" s="170"/>
      <c r="E64" s="170"/>
      <c r="F64" s="170"/>
      <c r="G64" s="170"/>
      <c r="H64" s="170"/>
      <c r="I64" s="170"/>
      <c r="J64" s="170"/>
      <c r="K64" s="170"/>
      <c r="L64" s="170"/>
      <c r="M64" s="170"/>
      <c r="N64" s="170"/>
      <c r="O64" s="170"/>
      <c r="P64" s="170"/>
      <c r="Q64" s="170"/>
      <c r="R64" s="170"/>
      <c r="S64" s="170"/>
      <c r="T64" s="170"/>
      <c r="U64" s="170"/>
    </row>
    <row r="65" spans="1:21" ht="14.25">
      <c r="A65" s="424">
        <v>2</v>
      </c>
      <c r="B65" s="417" t="s">
        <v>216</v>
      </c>
      <c r="C65" s="170"/>
      <c r="D65" s="170"/>
      <c r="E65" s="170"/>
      <c r="F65" s="170"/>
      <c r="G65" s="170"/>
      <c r="H65" s="170"/>
      <c r="I65" s="170"/>
      <c r="J65" s="170"/>
      <c r="K65" s="170"/>
      <c r="L65" s="170"/>
      <c r="M65" s="170"/>
      <c r="N65" s="170"/>
      <c r="O65" s="170"/>
      <c r="P65" s="170"/>
      <c r="Q65" s="170"/>
      <c r="R65" s="170"/>
      <c r="S65" s="170"/>
      <c r="T65" s="170"/>
      <c r="U65" s="170"/>
    </row>
    <row r="66" spans="1:21">
      <c r="B66" s="170"/>
      <c r="C66" s="170"/>
      <c r="D66" s="170"/>
      <c r="E66" s="170"/>
      <c r="F66" s="170"/>
      <c r="G66" s="170"/>
      <c r="H66" s="170"/>
      <c r="I66" s="170"/>
      <c r="J66" s="170"/>
      <c r="K66" s="170"/>
      <c r="L66" s="170"/>
      <c r="M66" s="170"/>
      <c r="N66" s="170"/>
      <c r="O66" s="170"/>
      <c r="P66" s="170"/>
      <c r="Q66" s="170"/>
      <c r="R66" s="170"/>
      <c r="S66" s="170"/>
      <c r="T66" s="170"/>
      <c r="U66" s="170"/>
    </row>
    <row r="67" spans="1:21">
      <c r="B67" s="170"/>
      <c r="C67" s="170"/>
      <c r="D67" s="170"/>
      <c r="E67" s="170"/>
      <c r="F67" s="170"/>
      <c r="G67" s="170"/>
      <c r="H67" s="170"/>
      <c r="I67" s="170"/>
      <c r="J67" s="170"/>
      <c r="K67" s="170"/>
      <c r="L67" s="170"/>
      <c r="M67" s="170"/>
      <c r="N67" s="170"/>
      <c r="O67" s="170"/>
      <c r="P67" s="170"/>
      <c r="Q67" s="170"/>
      <c r="R67" s="170"/>
      <c r="S67" s="170"/>
      <c r="T67" s="170"/>
      <c r="U67" s="170"/>
    </row>
    <row r="68" spans="1:21">
      <c r="B68" s="170"/>
      <c r="C68" s="170"/>
      <c r="D68" s="170"/>
      <c r="E68" s="170"/>
      <c r="F68" s="170"/>
      <c r="G68" s="170"/>
      <c r="H68" s="170"/>
      <c r="I68" s="170"/>
      <c r="J68" s="170"/>
      <c r="K68" s="170"/>
      <c r="L68" s="170"/>
      <c r="M68" s="170"/>
      <c r="N68" s="170"/>
      <c r="O68" s="170"/>
      <c r="P68" s="170"/>
      <c r="Q68" s="170"/>
      <c r="R68" s="170"/>
      <c r="S68" s="170"/>
      <c r="T68" s="170"/>
      <c r="U68" s="170"/>
    </row>
    <row r="69" spans="1:21">
      <c r="B69" s="170"/>
      <c r="C69" s="170"/>
      <c r="D69" s="170"/>
      <c r="E69" s="170"/>
      <c r="F69" s="170"/>
      <c r="G69" s="170"/>
      <c r="H69" s="170"/>
      <c r="I69" s="170"/>
      <c r="J69" s="170"/>
      <c r="K69" s="170"/>
      <c r="L69" s="170"/>
      <c r="M69" s="170"/>
      <c r="N69" s="170"/>
      <c r="O69" s="170"/>
      <c r="P69" s="170"/>
      <c r="Q69" s="170"/>
      <c r="R69" s="170"/>
      <c r="S69" s="170"/>
      <c r="T69" s="170"/>
      <c r="U69" s="170"/>
    </row>
    <row r="70" spans="1:21">
      <c r="B70" s="170"/>
      <c r="C70" s="170"/>
      <c r="D70" s="170"/>
      <c r="E70" s="170"/>
      <c r="F70" s="170"/>
      <c r="G70" s="170"/>
      <c r="H70" s="170"/>
      <c r="I70" s="170"/>
      <c r="J70" s="170"/>
      <c r="K70" s="170"/>
      <c r="L70" s="170"/>
      <c r="M70" s="170"/>
      <c r="N70" s="170"/>
      <c r="O70" s="170"/>
      <c r="P70" s="170"/>
      <c r="Q70" s="170"/>
      <c r="R70" s="170"/>
      <c r="S70" s="170"/>
      <c r="T70" s="170"/>
      <c r="U70" s="170"/>
    </row>
    <row r="71" spans="1:21">
      <c r="B71" s="170"/>
      <c r="C71" s="170"/>
      <c r="D71" s="170"/>
      <c r="E71" s="170"/>
      <c r="F71" s="170"/>
      <c r="G71" s="170"/>
      <c r="H71" s="170"/>
      <c r="I71" s="170"/>
      <c r="J71" s="170"/>
      <c r="K71" s="170"/>
      <c r="L71" s="170"/>
      <c r="M71" s="170"/>
      <c r="N71" s="170"/>
      <c r="O71" s="170"/>
      <c r="P71" s="170"/>
      <c r="Q71" s="170"/>
      <c r="R71" s="170"/>
      <c r="S71" s="170"/>
      <c r="T71" s="170"/>
      <c r="U71" s="170"/>
    </row>
  </sheetData>
  <mergeCells count="4">
    <mergeCell ref="C10:D10"/>
    <mergeCell ref="C29:E29"/>
    <mergeCell ref="F29:H29"/>
    <mergeCell ref="C47:E4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V300"/>
  <sheetViews>
    <sheetView zoomScale="70" zoomScaleNormal="70" workbookViewId="0">
      <selection activeCell="Q127" sqref="Q127"/>
    </sheetView>
  </sheetViews>
  <sheetFormatPr defaultColWidth="8.85546875" defaultRowHeight="12.75"/>
  <cols>
    <col min="1" max="1" width="7.7109375" style="64" customWidth="1"/>
    <col min="2" max="2" width="29.7109375" style="64" customWidth="1"/>
    <col min="3" max="3" width="17.7109375" style="64" customWidth="1"/>
    <col min="4" max="4" width="20.140625" style="64" customWidth="1"/>
    <col min="5" max="5" width="14.7109375" style="64" customWidth="1"/>
    <col min="6" max="6" width="15" style="64" customWidth="1"/>
    <col min="7" max="7" width="16.7109375" style="64" customWidth="1"/>
    <col min="8" max="8" width="17.42578125" style="64" customWidth="1"/>
    <col min="9" max="9" width="19.85546875" style="64" customWidth="1"/>
    <col min="10" max="10" width="19.7109375" style="64" customWidth="1"/>
    <col min="11" max="11" width="24.28515625" style="64" customWidth="1"/>
    <col min="12" max="12" width="17.7109375" style="64" customWidth="1"/>
    <col min="13" max="13" width="15.140625" style="64" customWidth="1"/>
    <col min="14" max="14" width="18" style="64" bestFit="1" customWidth="1"/>
    <col min="15" max="15" width="19.85546875" style="64" customWidth="1"/>
    <col min="16" max="16" width="15" style="64" customWidth="1"/>
    <col min="17" max="17" width="31.140625" style="64" customWidth="1"/>
    <col min="18" max="18" width="25" style="64" customWidth="1"/>
    <col min="19" max="19" width="13.5703125" style="64" customWidth="1"/>
    <col min="20" max="20" width="13" style="64" customWidth="1"/>
    <col min="21" max="22" width="13.85546875" style="64" customWidth="1"/>
    <col min="23" max="23" width="10.28515625" style="64" bestFit="1" customWidth="1"/>
    <col min="24" max="16384" width="8.85546875" style="64"/>
  </cols>
  <sheetData>
    <row r="1" spans="1:17" s="63" customFormat="1"/>
    <row r="2" spans="1:17" s="63" customFormat="1"/>
    <row r="3" spans="1:17" s="63" customFormat="1"/>
    <row r="4" spans="1:17" s="63" customFormat="1"/>
    <row r="5" spans="1:17" s="63" customFormat="1"/>
    <row r="7" spans="1:17">
      <c r="A7" s="182"/>
      <c r="B7" s="182"/>
      <c r="C7" s="183"/>
      <c r="D7" s="183"/>
      <c r="E7" s="182"/>
      <c r="F7" s="184"/>
      <c r="G7" s="184"/>
      <c r="H7" s="184"/>
      <c r="I7" s="182"/>
      <c r="J7" s="182"/>
      <c r="K7" s="184"/>
      <c r="L7" s="184"/>
      <c r="M7" s="184"/>
      <c r="N7" s="182"/>
      <c r="O7" s="182"/>
      <c r="P7" s="182"/>
      <c r="Q7" s="182"/>
    </row>
    <row r="8" spans="1:17">
      <c r="A8" s="182"/>
      <c r="B8" s="185" t="s">
        <v>168</v>
      </c>
      <c r="C8" s="186">
        <v>1.5</v>
      </c>
      <c r="D8" s="182" t="s">
        <v>14</v>
      </c>
      <c r="E8" s="182"/>
      <c r="F8" s="184"/>
      <c r="G8" s="184"/>
      <c r="H8" s="184"/>
      <c r="I8" s="182"/>
      <c r="J8" s="182"/>
      <c r="K8" s="184"/>
      <c r="L8" s="184"/>
      <c r="M8" s="184"/>
      <c r="N8" s="182"/>
      <c r="O8" s="182"/>
      <c r="P8" s="182"/>
      <c r="Q8" s="182"/>
    </row>
    <row r="9" spans="1:17" ht="25.5">
      <c r="A9" s="182"/>
      <c r="B9" s="185" t="s">
        <v>172</v>
      </c>
      <c r="C9" s="187">
        <f>IF(Cockpit!C22=0,Cockpit!C28,Cockpit!C22)/1000</f>
        <v>0</v>
      </c>
      <c r="D9" s="182" t="s">
        <v>5</v>
      </c>
      <c r="E9" s="182"/>
      <c r="F9" s="184"/>
      <c r="G9" s="184"/>
      <c r="H9" s="184"/>
      <c r="I9" s="182"/>
      <c r="J9" s="182"/>
      <c r="K9" s="184"/>
      <c r="L9" s="184"/>
      <c r="M9" s="184"/>
      <c r="N9" s="182"/>
      <c r="O9" s="182"/>
      <c r="P9" s="182"/>
      <c r="Q9" s="182"/>
    </row>
    <row r="10" spans="1:17">
      <c r="A10" s="182"/>
      <c r="B10" s="182"/>
      <c r="C10" s="183"/>
      <c r="D10" s="183"/>
      <c r="E10" s="182"/>
      <c r="F10" s="184"/>
      <c r="G10" s="184"/>
      <c r="H10" s="184"/>
      <c r="I10" s="182"/>
      <c r="J10" s="183"/>
      <c r="K10" s="182"/>
      <c r="L10" s="182"/>
      <c r="M10" s="182"/>
      <c r="N10" s="182"/>
      <c r="O10" s="182"/>
      <c r="P10" s="182"/>
      <c r="Q10" s="182"/>
    </row>
    <row r="11" spans="1:17">
      <c r="A11" s="182"/>
      <c r="B11" s="182"/>
      <c r="C11" s="183"/>
      <c r="D11" s="183"/>
      <c r="E11" s="182"/>
      <c r="F11" s="184"/>
      <c r="G11" s="184"/>
      <c r="H11" s="184"/>
      <c r="I11" s="182"/>
      <c r="J11" s="183"/>
      <c r="K11" s="182"/>
      <c r="L11" s="182"/>
      <c r="M11" s="182"/>
      <c r="N11" s="182"/>
      <c r="O11" s="182"/>
      <c r="P11" s="182"/>
      <c r="Q11" s="182"/>
    </row>
    <row r="12" spans="1:17">
      <c r="A12" s="182"/>
      <c r="B12" s="182"/>
      <c r="C12" s="183"/>
      <c r="D12" s="183"/>
      <c r="E12" s="182"/>
      <c r="F12" s="184"/>
      <c r="G12" s="184"/>
      <c r="H12" s="184"/>
      <c r="I12" s="182"/>
      <c r="J12" s="182"/>
      <c r="K12" s="182"/>
      <c r="L12" s="182"/>
      <c r="M12" s="182"/>
      <c r="N12" s="182"/>
      <c r="O12" s="182"/>
      <c r="P12" s="182"/>
      <c r="Q12" s="182"/>
    </row>
    <row r="13" spans="1:17">
      <c r="A13" s="182"/>
      <c r="B13" s="182"/>
      <c r="C13" s="183"/>
      <c r="D13" s="183"/>
      <c r="E13" s="182"/>
      <c r="F13" s="184"/>
      <c r="G13" s="184"/>
      <c r="H13" s="184"/>
      <c r="I13" s="182"/>
      <c r="J13" s="182"/>
      <c r="K13" s="182"/>
      <c r="L13" s="182"/>
      <c r="M13" s="182"/>
      <c r="N13" s="182"/>
      <c r="O13" s="182"/>
      <c r="P13" s="182"/>
      <c r="Q13" s="182"/>
    </row>
    <row r="14" spans="1:17" ht="53.45" customHeight="1">
      <c r="A14" s="182"/>
      <c r="B14" s="182"/>
      <c r="C14" s="183"/>
      <c r="D14" s="183"/>
      <c r="E14" s="182"/>
      <c r="F14" s="184"/>
      <c r="G14" s="184"/>
      <c r="H14" s="184"/>
      <c r="I14" s="182"/>
      <c r="J14" s="182"/>
      <c r="K14" s="182"/>
      <c r="L14" s="182"/>
      <c r="M14" s="182"/>
      <c r="N14" s="182"/>
      <c r="O14" s="182"/>
      <c r="P14" s="182"/>
      <c r="Q14" s="182"/>
    </row>
    <row r="15" spans="1:17" ht="15.6" customHeight="1">
      <c r="A15" s="182"/>
      <c r="B15" s="506" t="s">
        <v>197</v>
      </c>
      <c r="C15" s="506"/>
      <c r="D15" s="506"/>
      <c r="E15" s="506"/>
      <c r="F15" s="506"/>
      <c r="G15" s="507" t="s">
        <v>199</v>
      </c>
      <c r="H15" s="507"/>
      <c r="I15" s="507"/>
      <c r="J15" s="507"/>
      <c r="K15" s="505" t="s">
        <v>198</v>
      </c>
      <c r="L15" s="505"/>
      <c r="M15" s="505"/>
      <c r="N15" s="505"/>
      <c r="O15" s="505"/>
      <c r="P15" s="505"/>
      <c r="Q15" s="188" t="s">
        <v>200</v>
      </c>
    </row>
    <row r="16" spans="1:17" ht="64.900000000000006" customHeight="1">
      <c r="A16" s="182"/>
      <c r="B16" s="189"/>
      <c r="C16" s="190" t="s">
        <v>1</v>
      </c>
      <c r="D16" s="190" t="s">
        <v>139</v>
      </c>
      <c r="E16" s="190" t="s">
        <v>140</v>
      </c>
      <c r="F16" s="438" t="s">
        <v>141</v>
      </c>
      <c r="G16" s="191" t="s">
        <v>184</v>
      </c>
      <c r="H16" s="191" t="s">
        <v>166</v>
      </c>
      <c r="I16" s="191" t="s">
        <v>167</v>
      </c>
      <c r="J16" s="191" t="s">
        <v>205</v>
      </c>
      <c r="K16" s="192" t="s">
        <v>226</v>
      </c>
      <c r="L16" s="192" t="s">
        <v>225</v>
      </c>
      <c r="M16" s="192" t="s">
        <v>227</v>
      </c>
      <c r="N16" s="192" t="s">
        <v>228</v>
      </c>
      <c r="O16" s="192" t="s">
        <v>229</v>
      </c>
      <c r="P16" s="192" t="s">
        <v>173</v>
      </c>
      <c r="Q16" s="193" t="s">
        <v>230</v>
      </c>
    </row>
    <row r="17" spans="1:22">
      <c r="A17" s="182"/>
      <c r="B17" s="189" t="s">
        <v>7</v>
      </c>
      <c r="C17" s="194" cm="1">
        <f t="array" ref="C17">IF(OR(AND('Scenario''s'!C12:C20=0%),AND('Scenario''s'!$C$12:$C$20="Onbekend")),'Scenario''s'!D12,'Scenario''s'!C12)</f>
        <v>0.13320000000000001</v>
      </c>
      <c r="D17" s="207">
        <f>IF('Scenario''s'!C32="Onbekend",'Scenario''s'!F32,'Scenario''s'!C32)</f>
        <v>0.60499999999999998</v>
      </c>
      <c r="E17" s="207">
        <f>IF('Scenario''s'!D32="Onbekend",'Scenario''s'!G32,'Scenario''s'!D32)</f>
        <v>0.32500000000000001</v>
      </c>
      <c r="F17" s="207">
        <f>IF('Scenario''s'!E32="Onbekend",'Scenario''s'!H32,'Scenario''s'!E32)</f>
        <v>7.0000000000000007E-2</v>
      </c>
      <c r="G17" s="195">
        <f>Samenstelling!X11</f>
        <v>12.658111426549997</v>
      </c>
      <c r="H17" s="195">
        <f>Samenstelling!Y11</f>
        <v>-1.6620756427039998</v>
      </c>
      <c r="I17" s="195">
        <f>Samenstelling!Z11</f>
        <v>1.23555414465</v>
      </c>
      <c r="J17" s="195">
        <f t="shared" ref="J17:J25" si="0">H128</f>
        <v>0.24450806283923077</v>
      </c>
      <c r="K17" s="196">
        <f t="shared" ref="K17:K24" si="1">D17*G17*(1-$C$8)</f>
        <v>-3.8290787065313738</v>
      </c>
      <c r="L17" s="196">
        <f t="shared" ref="L17:M24" si="2">E17*H17</f>
        <v>-0.54017458387879991</v>
      </c>
      <c r="M17" s="196">
        <f t="shared" si="2"/>
        <v>8.6488790125500009E-2</v>
      </c>
      <c r="N17" s="196">
        <f>D17*J17</f>
        <v>0.14792737801773462</v>
      </c>
      <c r="O17" s="196">
        <f>SUM(K17:N17)</f>
        <v>-4.1348371222669389</v>
      </c>
      <c r="P17" s="196">
        <f t="shared" ref="P17:P25" si="3">O17*C17</f>
        <v>-0.55076030468595627</v>
      </c>
      <c r="Q17" s="197">
        <f t="shared" ref="Q17:Q25" si="4">P17*$C$9</f>
        <v>0</v>
      </c>
    </row>
    <row r="18" spans="1:22">
      <c r="A18" s="182"/>
      <c r="B18" s="189" t="s">
        <v>63</v>
      </c>
      <c r="C18" s="194" cm="1">
        <f t="array" ref="C18">IF(OR(AND('Scenario''s'!C13:C21=0%),AND('Scenario''s'!$C$12:$C$20="Onbekend")),'Scenario''s'!D13,'Scenario''s'!C13)</f>
        <v>0.1895</v>
      </c>
      <c r="D18" s="207">
        <f>IF('Scenario''s'!C33="Onbekend",'Scenario''s'!F33,'Scenario''s'!C33)</f>
        <v>0.79</v>
      </c>
      <c r="E18" s="207">
        <f>IF('Scenario''s'!D33="Onbekend",'Scenario''s'!G33,'Scenario''s'!D33)</f>
        <v>0.21</v>
      </c>
      <c r="F18" s="207">
        <f>IF('Scenario''s'!E33="Onbekend",'Scenario''s'!H33,'Scenario''s'!E33)</f>
        <v>0</v>
      </c>
      <c r="G18" s="195">
        <f>Samenstelling!X12</f>
        <v>16.644297993449999</v>
      </c>
      <c r="H18" s="195">
        <f>Samenstelling!Y12</f>
        <v>-9.3759894691764991</v>
      </c>
      <c r="I18" s="195">
        <f>Samenstelling!Z12</f>
        <v>1.0185757819350001</v>
      </c>
      <c r="J18" s="195">
        <f t="shared" si="0"/>
        <v>0.47983029787846154</v>
      </c>
      <c r="K18" s="196">
        <f t="shared" si="1"/>
        <v>-6.5744977074127497</v>
      </c>
      <c r="L18" s="196">
        <f t="shared" si="2"/>
        <v>-1.9689577885270648</v>
      </c>
      <c r="M18" s="196">
        <f t="shared" si="2"/>
        <v>0</v>
      </c>
      <c r="N18" s="196">
        <f t="shared" ref="N18:N25" si="5">D18*J18</f>
        <v>0.37906593532398464</v>
      </c>
      <c r="O18" s="196">
        <f t="shared" ref="O18:O25" si="6">SUM(K18:N18)</f>
        <v>-8.164389560615831</v>
      </c>
      <c r="P18" s="196">
        <f t="shared" si="3"/>
        <v>-1.5471518217367</v>
      </c>
      <c r="Q18" s="197">
        <f t="shared" si="4"/>
        <v>0</v>
      </c>
    </row>
    <row r="19" spans="1:22">
      <c r="A19" s="182"/>
      <c r="B19" s="189" t="s">
        <v>9</v>
      </c>
      <c r="C19" s="194" cm="1">
        <f t="array" ref="C19">IF(OR(AND('Scenario''s'!C14:C22=0%),AND('Scenario''s'!$C$12:$C$20="Onbekend")),'Scenario''s'!D14,'Scenario''s'!C14)</f>
        <v>0.28129999999999999</v>
      </c>
      <c r="D19" s="207">
        <f>IF('Scenario''s'!C34="Onbekend",'Scenario''s'!F34,'Scenario''s'!C34)</f>
        <v>0.88500000000000001</v>
      </c>
      <c r="E19" s="207">
        <f>IF('Scenario''s'!D34="Onbekend",'Scenario''s'!G34,'Scenario''s'!D34)</f>
        <v>8.4000000000000005E-2</v>
      </c>
      <c r="F19" s="207">
        <f>IF('Scenario''s'!E34="Onbekend",'Scenario''s'!H34,'Scenario''s'!E34)</f>
        <v>3.1E-2</v>
      </c>
      <c r="G19" s="195">
        <f>Samenstelling!X13</f>
        <v>2.0679402111298124</v>
      </c>
      <c r="H19" s="195">
        <f>Samenstelling!Y13</f>
        <v>-1.9278207108374998</v>
      </c>
      <c r="I19" s="195">
        <f>Samenstelling!Z13</f>
        <v>0.14802009192666665</v>
      </c>
      <c r="J19" s="195">
        <f t="shared" si="0"/>
        <v>0.27812552498769227</v>
      </c>
      <c r="K19" s="196">
        <f t="shared" si="1"/>
        <v>-0.91506354342494201</v>
      </c>
      <c r="L19" s="196">
        <f t="shared" si="2"/>
        <v>-0.16193693971035</v>
      </c>
      <c r="M19" s="196">
        <f t="shared" si="2"/>
        <v>4.5886228497266663E-3</v>
      </c>
      <c r="N19" s="196">
        <f t="shared" si="5"/>
        <v>0.24614108961410766</v>
      </c>
      <c r="O19" s="196">
        <f t="shared" si="6"/>
        <v>-0.8262707706714576</v>
      </c>
      <c r="P19" s="196">
        <f t="shared" si="3"/>
        <v>-0.23242996778988101</v>
      </c>
      <c r="Q19" s="197">
        <f t="shared" si="4"/>
        <v>0</v>
      </c>
    </row>
    <row r="20" spans="1:22">
      <c r="A20" s="182"/>
      <c r="B20" s="189" t="s">
        <v>208</v>
      </c>
      <c r="C20" s="194" cm="1">
        <f t="array" ref="C20">IF(OR(AND('Scenario''s'!C15:C23=0%),AND('Scenario''s'!$C$12:$C$20="Onbekend")),'Scenario''s'!D15,'Scenario''s'!C15)</f>
        <v>8.6800000000000002E-2</v>
      </c>
      <c r="D20" s="207">
        <f>IF('Scenario''s'!C35="Onbekend",'Scenario''s'!F35,'Scenario''s'!C35)</f>
        <v>0.03</v>
      </c>
      <c r="E20" s="207">
        <f>IF('Scenario''s'!D35="Onbekend",'Scenario''s'!G35,'Scenario''s'!D35)</f>
        <v>0.81</v>
      </c>
      <c r="F20" s="207">
        <f>IF('Scenario''s'!E35="Onbekend",'Scenario''s'!H35,'Scenario''s'!E35)</f>
        <v>0.16</v>
      </c>
      <c r="G20" s="195">
        <f>Samenstelling!X14</f>
        <v>1.723509516945652</v>
      </c>
      <c r="H20" s="195">
        <f>Samenstelling!Y14</f>
        <v>-1.2320649717224998</v>
      </c>
      <c r="I20" s="195">
        <f>Samenstelling!Z14</f>
        <v>0.13254228765000001</v>
      </c>
      <c r="J20" s="195">
        <f t="shared" si="0"/>
        <v>0.41259537358153847</v>
      </c>
      <c r="K20" s="196">
        <f t="shared" si="1"/>
        <v>-2.5852642754184779E-2</v>
      </c>
      <c r="L20" s="196">
        <f t="shared" si="2"/>
        <v>-0.99797262709522494</v>
      </c>
      <c r="M20" s="196">
        <f t="shared" si="2"/>
        <v>2.1206766024000002E-2</v>
      </c>
      <c r="N20" s="196">
        <f t="shared" si="5"/>
        <v>1.2377861207446154E-2</v>
      </c>
      <c r="O20" s="196">
        <f t="shared" si="6"/>
        <v>-0.99024064261796352</v>
      </c>
      <c r="P20" s="196">
        <f t="shared" si="3"/>
        <v>-8.5952887779239234E-2</v>
      </c>
      <c r="Q20" s="197">
        <f t="shared" si="4"/>
        <v>0</v>
      </c>
    </row>
    <row r="21" spans="1:22">
      <c r="A21" s="182"/>
      <c r="B21" s="189" t="s">
        <v>10</v>
      </c>
      <c r="C21" s="194" cm="1">
        <f t="array" ref="C21">IF(OR(AND('Scenario''s'!C16:C24=0%),AND('Scenario''s'!$C$12:$C$20="Onbekend")),'Scenario''s'!D16,'Scenario''s'!C16)</f>
        <v>7.0000000000000001E-3</v>
      </c>
      <c r="D21" s="207">
        <f>IF('Scenario''s'!C36="Onbekend",'Scenario''s'!F36,'Scenario''s'!C36)</f>
        <v>0.89</v>
      </c>
      <c r="E21" s="207">
        <f>IF('Scenario''s'!D36="Onbekend",'Scenario''s'!G36,'Scenario''s'!D36)</f>
        <v>0.1</v>
      </c>
      <c r="F21" s="207">
        <f>IF('Scenario''s'!E36="Onbekend",'Scenario''s'!H36,'Scenario''s'!E36)</f>
        <v>0.01</v>
      </c>
      <c r="G21" s="195">
        <f>Samenstelling!X15</f>
        <v>7.6683695724999996</v>
      </c>
      <c r="H21" s="195">
        <f>Samenstelling!Y15</f>
        <v>-5.6427090036209995</v>
      </c>
      <c r="I21" s="195">
        <f>Samenstelling!Z15</f>
        <v>0.52944811088999999</v>
      </c>
      <c r="J21" s="195">
        <f t="shared" si="0"/>
        <v>0.54706522217538456</v>
      </c>
      <c r="K21" s="196">
        <f t="shared" si="1"/>
        <v>-3.4124244597624998</v>
      </c>
      <c r="L21" s="196">
        <f t="shared" si="2"/>
        <v>-0.56427090036209993</v>
      </c>
      <c r="M21" s="196">
        <f t="shared" si="2"/>
        <v>5.2944811089000003E-3</v>
      </c>
      <c r="N21" s="196">
        <f t="shared" si="5"/>
        <v>0.48688804773609229</v>
      </c>
      <c r="O21" s="196">
        <f t="shared" si="6"/>
        <v>-3.4845128312796074</v>
      </c>
      <c r="P21" s="196">
        <f t="shared" si="3"/>
        <v>-2.4391589818957251E-2</v>
      </c>
      <c r="Q21" s="197">
        <f t="shared" si="4"/>
        <v>0</v>
      </c>
    </row>
    <row r="22" spans="1:22">
      <c r="A22" s="182"/>
      <c r="B22" s="189" t="s">
        <v>70</v>
      </c>
      <c r="C22" s="194" cm="1">
        <f t="array" ref="C22">IF(OR(AND('Scenario''s'!C17:C25=0%),AND('Scenario''s'!$C$12:$C$20="Onbekend")),'Scenario''s'!D17,'Scenario''s'!C17)</f>
        <v>6.6299999999999998E-2</v>
      </c>
      <c r="D22" s="207">
        <f>IF('Scenario''s'!C37="Onbekend",'Scenario''s'!F37,'Scenario''s'!C37)</f>
        <v>0.80500000000000005</v>
      </c>
      <c r="E22" s="207">
        <f>IF('Scenario''s'!D37="Onbekend",'Scenario''s'!G37,'Scenario''s'!D37)</f>
        <v>0.185</v>
      </c>
      <c r="F22" s="207">
        <f>IF('Scenario''s'!E37="Onbekend",'Scenario''s'!H37,'Scenario''s'!E37)</f>
        <v>0.01</v>
      </c>
      <c r="G22" s="195">
        <f>Samenstelling!X16</f>
        <v>1.9949127317499997</v>
      </c>
      <c r="H22" s="195">
        <f>Samenstelling!Y16</f>
        <v>-0.73811771074749988</v>
      </c>
      <c r="I22" s="195">
        <f>Samenstelling!Z16</f>
        <v>0.14549920475</v>
      </c>
      <c r="J22" s="195">
        <f t="shared" si="0"/>
        <v>0.61430014647230768</v>
      </c>
      <c r="K22" s="196">
        <f t="shared" si="1"/>
        <v>-0.80295237452937496</v>
      </c>
      <c r="L22" s="196">
        <f t="shared" si="2"/>
        <v>-0.13655177648828748</v>
      </c>
      <c r="M22" s="196">
        <f t="shared" si="2"/>
        <v>1.4549920475E-3</v>
      </c>
      <c r="N22" s="196">
        <f t="shared" si="5"/>
        <v>0.4945116179102077</v>
      </c>
      <c r="O22" s="196">
        <f t="shared" si="6"/>
        <v>-0.4435375410599548</v>
      </c>
      <c r="P22" s="196">
        <f t="shared" si="3"/>
        <v>-2.9406538972275003E-2</v>
      </c>
      <c r="Q22" s="197">
        <f t="shared" si="4"/>
        <v>0</v>
      </c>
    </row>
    <row r="23" spans="1:22">
      <c r="A23" s="182"/>
      <c r="B23" s="189" t="s">
        <v>8</v>
      </c>
      <c r="C23" s="194" cm="1">
        <f t="array" ref="C23">IF(OR(AND('Scenario''s'!C18:C26=0%),AND('Scenario''s'!$C$12:$C$20="Onbekend")),'Scenario''s'!D18,'Scenario''s'!C18)</f>
        <v>2.8899999999999999E-2</v>
      </c>
      <c r="D23" s="207">
        <f>IF('Scenario''s'!C38="Onbekend",'Scenario''s'!F38,'Scenario''s'!C38)</f>
        <v>0.96</v>
      </c>
      <c r="E23" s="207">
        <f>IF('Scenario''s'!D38="Onbekend",'Scenario''s'!G38,'Scenario''s'!D38)</f>
        <v>0.02</v>
      </c>
      <c r="F23" s="207">
        <f>IF('Scenario''s'!E38="Onbekend",'Scenario''s'!H38,'Scenario''s'!E38)</f>
        <v>0.02</v>
      </c>
      <c r="G23" s="195">
        <f>Samenstelling!X17</f>
        <v>2.7763693960978255</v>
      </c>
      <c r="H23" s="195">
        <f>Samenstelling!Y17</f>
        <v>-1.4178570389075</v>
      </c>
      <c r="I23" s="195">
        <f>Samenstelling!Z17</f>
        <v>0.84271934844999996</v>
      </c>
      <c r="J23" s="195">
        <f t="shared" si="0"/>
        <v>0.61430014647230768</v>
      </c>
      <c r="K23" s="196">
        <f t="shared" si="1"/>
        <v>-1.3326573101269561</v>
      </c>
      <c r="L23" s="196">
        <f t="shared" si="2"/>
        <v>-2.8357140778150002E-2</v>
      </c>
      <c r="M23" s="196">
        <f t="shared" si="2"/>
        <v>1.6854386969000001E-2</v>
      </c>
      <c r="N23" s="196">
        <f t="shared" si="5"/>
        <v>0.58972814061341539</v>
      </c>
      <c r="O23" s="196">
        <f t="shared" si="6"/>
        <v>-0.7544319233226906</v>
      </c>
      <c r="P23" s="196">
        <f t="shared" si="3"/>
        <v>-2.1803082584025756E-2</v>
      </c>
      <c r="Q23" s="197">
        <f t="shared" si="4"/>
        <v>0</v>
      </c>
    </row>
    <row r="24" spans="1:22">
      <c r="A24" s="182"/>
      <c r="B24" s="189" t="s">
        <v>71</v>
      </c>
      <c r="C24" s="194" cm="1">
        <f t="array" ref="C24">IF(OR(AND('Scenario''s'!C19:C27=0%),AND('Scenario''s'!$C$12:$C$20="Onbekend")),'Scenario''s'!D19,'Scenario''s'!C19)</f>
        <v>0.13900000000000001</v>
      </c>
      <c r="D24" s="207">
        <f>IF('Scenario''s'!C39="Onbekend",'Scenario''s'!F39,'Scenario''s'!C39)</f>
        <v>0.94</v>
      </c>
      <c r="E24" s="207">
        <f>IF('Scenario''s'!D39="Onbekend",'Scenario''s'!G39,'Scenario''s'!D39)</f>
        <v>0.04</v>
      </c>
      <c r="F24" s="207">
        <f>IF('Scenario''s'!E39="Onbekend",'Scenario''s'!H39,'Scenario''s'!E39)</f>
        <v>0.02</v>
      </c>
      <c r="G24" s="195">
        <f>Samenstelling!X18</f>
        <v>2.4375261063913043</v>
      </c>
      <c r="H24" s="195">
        <f>Samenstelling!Y18</f>
        <v>-0.6822169603399999</v>
      </c>
      <c r="I24" s="195">
        <f>Samenstelling!Z18</f>
        <v>0.4875818857</v>
      </c>
      <c r="J24" s="195">
        <f t="shared" si="0"/>
        <v>0.61430014647230768</v>
      </c>
      <c r="K24" s="196">
        <f t="shared" si="1"/>
        <v>-1.145637270003913</v>
      </c>
      <c r="L24" s="196">
        <f t="shared" si="2"/>
        <v>-2.7288678413599998E-2</v>
      </c>
      <c r="M24" s="196">
        <f t="shared" si="2"/>
        <v>9.7516377140000002E-3</v>
      </c>
      <c r="N24" s="196">
        <f t="shared" si="5"/>
        <v>0.57744213768396924</v>
      </c>
      <c r="O24" s="196">
        <f t="shared" si="6"/>
        <v>-0.58573217301954383</v>
      </c>
      <c r="P24" s="196">
        <f t="shared" si="3"/>
        <v>-8.1416772049716604E-2</v>
      </c>
      <c r="Q24" s="197">
        <f t="shared" si="4"/>
        <v>0</v>
      </c>
    </row>
    <row r="25" spans="1:22">
      <c r="A25" s="182"/>
      <c r="B25" s="189" t="s">
        <v>11</v>
      </c>
      <c r="C25" s="194" cm="1">
        <f t="array" ref="C25">IF(OR(AND('Scenario''s'!C20:C28=0%),AND('Scenario''s'!$C$12:$C$20="Onbekend")),'Scenario''s'!D20,'Scenario''s'!C20)</f>
        <v>6.8000000000000005E-2</v>
      </c>
      <c r="D25" s="207">
        <f>IF('Scenario''s'!C40="Onbekend",'Scenario''s'!F40,'Scenario''s'!C40)</f>
        <v>0.5</v>
      </c>
      <c r="E25" s="207">
        <f>IF('Scenario''s'!D40="Onbekend",'Scenario''s'!G40,'Scenario''s'!D40)</f>
        <v>0.25</v>
      </c>
      <c r="F25" s="207">
        <f>IF('Scenario''s'!E40="Onbekend",'Scenario''s'!H40,'Scenario''s'!E40)</f>
        <v>0.25</v>
      </c>
      <c r="G25" s="195">
        <f t="shared" ref="G25:M25" si="7">AVERAGE(G17:G24)</f>
        <v>5.9963796193518233</v>
      </c>
      <c r="H25" s="195">
        <f t="shared" si="7"/>
        <v>-2.834856438507062</v>
      </c>
      <c r="I25" s="195">
        <f t="shared" si="7"/>
        <v>0.56749260699395843</v>
      </c>
      <c r="J25" s="195">
        <f t="shared" si="0"/>
        <v>0.47983029787846154</v>
      </c>
      <c r="K25" s="196">
        <f t="shared" si="7"/>
        <v>-2.2547705018182489</v>
      </c>
      <c r="L25" s="196">
        <f t="shared" si="7"/>
        <v>-0.55318880440669715</v>
      </c>
      <c r="M25" s="196">
        <f t="shared" si="7"/>
        <v>1.8204959604828336E-2</v>
      </c>
      <c r="N25" s="196">
        <f t="shared" si="5"/>
        <v>0.23991514893923077</v>
      </c>
      <c r="O25" s="196">
        <f t="shared" si="6"/>
        <v>-2.5498391976808872</v>
      </c>
      <c r="P25" s="196">
        <f t="shared" si="3"/>
        <v>-0.17338906544230034</v>
      </c>
      <c r="Q25" s="197">
        <f t="shared" si="4"/>
        <v>0</v>
      </c>
    </row>
    <row r="26" spans="1:22">
      <c r="A26" s="182"/>
      <c r="B26" s="198"/>
      <c r="C26" s="199"/>
      <c r="D26" s="182"/>
      <c r="E26" s="182"/>
      <c r="F26" s="182"/>
      <c r="G26" s="182"/>
      <c r="H26" s="182"/>
      <c r="I26" s="182"/>
      <c r="J26" s="182"/>
      <c r="K26" s="182"/>
      <c r="L26" s="182"/>
      <c r="M26" s="182"/>
      <c r="N26" s="182"/>
      <c r="O26" s="182"/>
      <c r="P26" s="182"/>
      <c r="Q26" s="182"/>
      <c r="R26" s="66"/>
      <c r="S26" s="67"/>
      <c r="T26" s="67"/>
      <c r="U26" s="67"/>
      <c r="V26" s="67"/>
    </row>
    <row r="27" spans="1:22">
      <c r="A27" s="182"/>
      <c r="B27" s="508" t="s">
        <v>200</v>
      </c>
      <c r="C27" s="508"/>
      <c r="D27" s="508"/>
      <c r="E27" s="508"/>
      <c r="F27" s="508"/>
      <c r="G27" s="200"/>
      <c r="H27" s="200"/>
      <c r="I27" s="182"/>
      <c r="J27" s="182"/>
      <c r="K27" s="182"/>
      <c r="L27" s="182"/>
      <c r="M27" s="182"/>
      <c r="N27" s="182"/>
      <c r="O27" s="182"/>
      <c r="P27" s="182"/>
      <c r="Q27" s="182"/>
      <c r="R27" s="66"/>
      <c r="S27" s="67"/>
      <c r="T27" s="67"/>
      <c r="U27" s="67"/>
      <c r="V27" s="67"/>
    </row>
    <row r="28" spans="1:22" ht="38.25">
      <c r="A28" s="182"/>
      <c r="B28" s="201"/>
      <c r="C28" s="193" t="s">
        <v>201</v>
      </c>
      <c r="D28" s="193" t="s">
        <v>202</v>
      </c>
      <c r="E28" s="193" t="s">
        <v>203</v>
      </c>
      <c r="F28" s="193" t="s">
        <v>204</v>
      </c>
      <c r="G28" s="193" t="s">
        <v>256</v>
      </c>
      <c r="H28" s="193" t="s">
        <v>224</v>
      </c>
      <c r="I28" s="182"/>
      <c r="J28" s="182"/>
      <c r="K28" s="182"/>
      <c r="L28" s="182"/>
      <c r="M28" s="182"/>
      <c r="N28" s="182"/>
      <c r="O28" s="182"/>
      <c r="P28" s="182"/>
      <c r="Q28" s="182"/>
      <c r="R28" s="66"/>
      <c r="S28" s="67"/>
      <c r="T28" s="67"/>
      <c r="U28" s="67"/>
      <c r="V28" s="67"/>
    </row>
    <row r="29" spans="1:22">
      <c r="A29" s="182"/>
      <c r="B29" s="201"/>
      <c r="C29" s="193" t="s">
        <v>232</v>
      </c>
      <c r="D29" s="193" t="s">
        <v>232</v>
      </c>
      <c r="E29" s="193" t="s">
        <v>232</v>
      </c>
      <c r="F29" s="193" t="s">
        <v>232</v>
      </c>
      <c r="G29" s="193" t="s">
        <v>232</v>
      </c>
      <c r="H29" s="193" t="s">
        <v>232</v>
      </c>
      <c r="I29" s="182"/>
      <c r="J29" s="182"/>
      <c r="K29" s="182"/>
      <c r="L29" s="182"/>
      <c r="M29" s="182"/>
      <c r="N29" s="182"/>
      <c r="O29" s="182"/>
      <c r="P29" s="182"/>
      <c r="Q29" s="182"/>
      <c r="R29" s="66"/>
      <c r="S29" s="67"/>
      <c r="T29" s="67"/>
      <c r="U29" s="67"/>
      <c r="V29" s="67"/>
    </row>
    <row r="30" spans="1:22">
      <c r="A30" s="182"/>
      <c r="B30" s="197" t="s">
        <v>7</v>
      </c>
      <c r="C30" s="197">
        <f t="shared" ref="C30:C36" si="8">K17*C17*$C$9</f>
        <v>0</v>
      </c>
      <c r="D30" s="197">
        <f t="shared" ref="D30:D36" si="9">L17*C17*$C$9</f>
        <v>0</v>
      </c>
      <c r="E30" s="197">
        <f t="shared" ref="E30:E36" si="10">M17*C17*$C$9</f>
        <v>0</v>
      </c>
      <c r="F30" s="197">
        <f t="shared" ref="F30:F36" si="11">N17*C17*$C$9</f>
        <v>0</v>
      </c>
      <c r="G30" s="202"/>
      <c r="H30" s="202"/>
      <c r="I30" s="182"/>
      <c r="J30" s="182"/>
      <c r="K30" s="182"/>
      <c r="L30" s="182"/>
      <c r="M30" s="182"/>
      <c r="N30" s="182"/>
      <c r="O30" s="182"/>
      <c r="P30" s="182"/>
      <c r="Q30" s="182"/>
      <c r="R30" s="66"/>
      <c r="S30" s="67"/>
      <c r="T30" s="67"/>
      <c r="U30" s="67"/>
      <c r="V30" s="67"/>
    </row>
    <row r="31" spans="1:22">
      <c r="A31" s="182"/>
      <c r="B31" s="201" t="s">
        <v>63</v>
      </c>
      <c r="C31" s="197">
        <f t="shared" si="8"/>
        <v>0</v>
      </c>
      <c r="D31" s="197">
        <f t="shared" si="9"/>
        <v>0</v>
      </c>
      <c r="E31" s="197">
        <f t="shared" si="10"/>
        <v>0</v>
      </c>
      <c r="F31" s="197">
        <f t="shared" si="11"/>
        <v>0</v>
      </c>
      <c r="G31" s="202"/>
      <c r="H31" s="202"/>
      <c r="I31" s="182"/>
      <c r="J31" s="182"/>
      <c r="K31" s="182"/>
      <c r="L31" s="182"/>
      <c r="M31" s="182"/>
      <c r="N31" s="182"/>
      <c r="O31" s="182"/>
      <c r="P31" s="182"/>
      <c r="Q31" s="182"/>
      <c r="R31" s="66"/>
      <c r="S31" s="67"/>
      <c r="T31" s="67"/>
      <c r="U31" s="67"/>
      <c r="V31" s="67"/>
    </row>
    <row r="32" spans="1:22">
      <c r="A32" s="182"/>
      <c r="B32" s="201" t="s">
        <v>9</v>
      </c>
      <c r="C32" s="197">
        <f t="shared" si="8"/>
        <v>0</v>
      </c>
      <c r="D32" s="197">
        <f t="shared" si="9"/>
        <v>0</v>
      </c>
      <c r="E32" s="197">
        <f t="shared" si="10"/>
        <v>0</v>
      </c>
      <c r="F32" s="197">
        <f t="shared" si="11"/>
        <v>0</v>
      </c>
      <c r="G32" s="202"/>
      <c r="H32" s="202"/>
      <c r="I32" s="182"/>
      <c r="J32" s="182"/>
      <c r="K32" s="182"/>
      <c r="L32" s="182"/>
      <c r="M32" s="182"/>
      <c r="N32" s="182"/>
      <c r="O32" s="182"/>
      <c r="P32" s="182"/>
      <c r="Q32" s="182"/>
      <c r="R32" s="66"/>
      <c r="S32" s="67"/>
      <c r="T32" s="67"/>
      <c r="U32" s="67"/>
      <c r="V32" s="67"/>
    </row>
    <row r="33" spans="1:22">
      <c r="A33" s="182"/>
      <c r="B33" s="201" t="s">
        <v>208</v>
      </c>
      <c r="C33" s="197">
        <f t="shared" si="8"/>
        <v>0</v>
      </c>
      <c r="D33" s="197">
        <f t="shared" si="9"/>
        <v>0</v>
      </c>
      <c r="E33" s="197">
        <f t="shared" si="10"/>
        <v>0</v>
      </c>
      <c r="F33" s="197">
        <f t="shared" si="11"/>
        <v>0</v>
      </c>
      <c r="G33" s="202"/>
      <c r="H33" s="202"/>
      <c r="I33" s="182"/>
      <c r="J33" s="182"/>
      <c r="K33" s="182"/>
      <c r="L33" s="182"/>
      <c r="M33" s="182"/>
      <c r="N33" s="182"/>
      <c r="O33" s="182"/>
      <c r="P33" s="182"/>
      <c r="Q33" s="182"/>
      <c r="R33" s="66"/>
      <c r="S33" s="67"/>
      <c r="T33" s="67"/>
      <c r="U33" s="67"/>
      <c r="V33" s="67"/>
    </row>
    <row r="34" spans="1:22">
      <c r="A34" s="182"/>
      <c r="B34" s="201" t="s">
        <v>10</v>
      </c>
      <c r="C34" s="197">
        <f t="shared" si="8"/>
        <v>0</v>
      </c>
      <c r="D34" s="197">
        <f t="shared" si="9"/>
        <v>0</v>
      </c>
      <c r="E34" s="197">
        <f t="shared" si="10"/>
        <v>0</v>
      </c>
      <c r="F34" s="197">
        <f t="shared" si="11"/>
        <v>0</v>
      </c>
      <c r="G34" s="202"/>
      <c r="H34" s="202"/>
      <c r="I34" s="182"/>
      <c r="J34" s="182"/>
      <c r="K34" s="182"/>
      <c r="L34" s="182"/>
      <c r="M34" s="182"/>
      <c r="N34" s="182"/>
      <c r="O34" s="182"/>
      <c r="P34" s="182"/>
      <c r="Q34" s="182"/>
      <c r="R34" s="66"/>
      <c r="S34" s="67"/>
      <c r="T34" s="67"/>
      <c r="U34" s="67"/>
      <c r="V34" s="67"/>
    </row>
    <row r="35" spans="1:22">
      <c r="A35" s="182"/>
      <c r="B35" s="201" t="s">
        <v>70</v>
      </c>
      <c r="C35" s="197">
        <f t="shared" si="8"/>
        <v>0</v>
      </c>
      <c r="D35" s="197">
        <f t="shared" si="9"/>
        <v>0</v>
      </c>
      <c r="E35" s="197">
        <f t="shared" si="10"/>
        <v>0</v>
      </c>
      <c r="F35" s="197">
        <f t="shared" si="11"/>
        <v>0</v>
      </c>
      <c r="G35" s="202"/>
      <c r="H35" s="202"/>
      <c r="I35" s="182"/>
      <c r="J35" s="182"/>
      <c r="K35" s="182"/>
      <c r="L35" s="182"/>
      <c r="M35" s="182"/>
      <c r="N35" s="182"/>
      <c r="O35" s="182"/>
      <c r="P35" s="182"/>
      <c r="Q35" s="182"/>
      <c r="R35" s="66"/>
      <c r="S35" s="67"/>
      <c r="T35" s="67"/>
      <c r="U35" s="67"/>
      <c r="V35" s="67"/>
    </row>
    <row r="36" spans="1:22">
      <c r="A36" s="182"/>
      <c r="B36" s="201" t="s">
        <v>8</v>
      </c>
      <c r="C36" s="197">
        <f t="shared" si="8"/>
        <v>0</v>
      </c>
      <c r="D36" s="197">
        <f t="shared" si="9"/>
        <v>0</v>
      </c>
      <c r="E36" s="197">
        <f t="shared" si="10"/>
        <v>0</v>
      </c>
      <c r="F36" s="197">
        <f t="shared" si="11"/>
        <v>0</v>
      </c>
      <c r="G36" s="202"/>
      <c r="H36" s="202"/>
      <c r="I36" s="182"/>
      <c r="J36" s="182"/>
      <c r="K36" s="182"/>
      <c r="L36" s="182"/>
      <c r="M36" s="182"/>
      <c r="N36" s="182"/>
      <c r="O36" s="182"/>
      <c r="P36" s="182"/>
      <c r="Q36" s="182"/>
      <c r="R36" s="66"/>
      <c r="S36" s="67"/>
      <c r="T36" s="67"/>
      <c r="U36" s="67"/>
      <c r="V36" s="67"/>
    </row>
    <row r="37" spans="1:22">
      <c r="A37" s="182"/>
      <c r="B37" s="201" t="s">
        <v>71</v>
      </c>
      <c r="C37" s="197">
        <f>K24*C24*$C$9</f>
        <v>0</v>
      </c>
      <c r="D37" s="197">
        <f>L24*C24*$C$9</f>
        <v>0</v>
      </c>
      <c r="E37" s="197">
        <f>M24*C24*$C$9</f>
        <v>0</v>
      </c>
      <c r="F37" s="197">
        <f>N24*C24*$C$9</f>
        <v>0</v>
      </c>
      <c r="G37" s="202"/>
      <c r="H37" s="202"/>
      <c r="I37" s="182"/>
      <c r="J37" s="182"/>
      <c r="K37" s="182"/>
      <c r="L37" s="182"/>
      <c r="M37" s="182"/>
      <c r="N37" s="182"/>
      <c r="O37" s="182"/>
      <c r="P37" s="182"/>
      <c r="Q37" s="182"/>
      <c r="R37" s="66"/>
      <c r="S37" s="67"/>
      <c r="T37" s="67"/>
      <c r="U37" s="67"/>
      <c r="V37" s="67"/>
    </row>
    <row r="38" spans="1:22">
      <c r="A38" s="182"/>
      <c r="B38" s="201" t="s">
        <v>11</v>
      </c>
      <c r="C38" s="203">
        <f>K25*C25*$C$9</f>
        <v>0</v>
      </c>
      <c r="D38" s="203">
        <f>L25*C25*$C$9</f>
        <v>0</v>
      </c>
      <c r="E38" s="203">
        <f>M25*C25*$C$9</f>
        <v>0</v>
      </c>
      <c r="F38" s="203">
        <f>N25*C25*$C$9</f>
        <v>0</v>
      </c>
      <c r="G38" s="204"/>
      <c r="H38" s="204"/>
      <c r="I38" s="182"/>
      <c r="J38" s="182"/>
      <c r="K38" s="182"/>
      <c r="L38" s="182"/>
      <c r="M38" s="182"/>
      <c r="N38" s="182"/>
      <c r="O38" s="182"/>
      <c r="P38" s="182"/>
      <c r="Q38" s="182"/>
      <c r="R38" s="66"/>
      <c r="S38" s="67"/>
      <c r="T38" s="67"/>
      <c r="U38" s="67"/>
      <c r="V38" s="67"/>
    </row>
    <row r="39" spans="1:22">
      <c r="A39" s="182"/>
      <c r="B39" s="205" t="s">
        <v>3</v>
      </c>
      <c r="C39" s="206">
        <f>SUM(C30:C38)</f>
        <v>0</v>
      </c>
      <c r="D39" s="206">
        <f>SUM(D30:D38)</f>
        <v>0</v>
      </c>
      <c r="E39" s="206">
        <f>SUM(E30:E38)</f>
        <v>0</v>
      </c>
      <c r="F39" s="206">
        <f>SUM(F30:F38)</f>
        <v>0</v>
      </c>
      <c r="G39" s="201">
        <f>E148</f>
        <v>0</v>
      </c>
      <c r="H39" s="201">
        <f>E150</f>
        <v>0</v>
      </c>
      <c r="I39" s="182"/>
      <c r="J39" s="182"/>
      <c r="K39" s="182"/>
      <c r="L39" s="182"/>
      <c r="M39" s="182"/>
      <c r="N39" s="182"/>
      <c r="O39" s="182"/>
      <c r="P39" s="182"/>
      <c r="Q39" s="182"/>
      <c r="R39" s="66"/>
      <c r="S39" s="67"/>
      <c r="T39" s="67"/>
      <c r="U39" s="67"/>
      <c r="V39" s="67"/>
    </row>
    <row r="40" spans="1:22">
      <c r="A40" s="182"/>
      <c r="B40" s="198"/>
      <c r="C40" s="199"/>
      <c r="D40" s="182"/>
      <c r="E40" s="182"/>
      <c r="F40" s="182"/>
      <c r="G40" s="198"/>
      <c r="H40" s="198"/>
      <c r="I40" s="182"/>
      <c r="J40" s="182"/>
      <c r="K40" s="182"/>
      <c r="L40" s="182"/>
      <c r="M40" s="182"/>
      <c r="N40" s="182"/>
      <c r="O40" s="182"/>
      <c r="P40" s="182"/>
      <c r="Q40" s="182"/>
      <c r="R40" s="66"/>
      <c r="S40" s="67"/>
      <c r="T40" s="67"/>
      <c r="U40" s="67"/>
      <c r="V40" s="67"/>
    </row>
    <row r="41" spans="1:22">
      <c r="A41" s="182"/>
      <c r="B41" s="198"/>
      <c r="C41" s="199"/>
      <c r="D41" s="182"/>
      <c r="E41" s="182"/>
      <c r="F41" s="182"/>
      <c r="G41" s="182"/>
      <c r="H41" s="182"/>
      <c r="I41" s="182"/>
      <c r="J41" s="182"/>
      <c r="K41" s="182"/>
      <c r="L41" s="182"/>
      <c r="M41" s="182"/>
      <c r="N41" s="182"/>
      <c r="O41" s="182"/>
      <c r="P41" s="182"/>
      <c r="Q41" s="182"/>
      <c r="R41" s="66"/>
      <c r="S41" s="67"/>
      <c r="T41" s="67"/>
      <c r="U41" s="67"/>
      <c r="V41" s="67"/>
    </row>
    <row r="42" spans="1:22">
      <c r="A42" s="182"/>
      <c r="B42" s="198"/>
      <c r="C42" s="199"/>
      <c r="D42" s="182"/>
      <c r="E42" s="182"/>
      <c r="F42" s="182"/>
      <c r="G42" s="182"/>
      <c r="H42" s="182"/>
      <c r="I42" s="182"/>
      <c r="J42" s="182"/>
      <c r="K42" s="182"/>
      <c r="L42" s="182"/>
      <c r="M42" s="182"/>
      <c r="N42" s="182"/>
      <c r="O42" s="182"/>
      <c r="P42" s="182"/>
      <c r="Q42" s="182"/>
      <c r="R42" s="66"/>
      <c r="S42" s="67"/>
      <c r="T42" s="67"/>
      <c r="U42" s="67"/>
      <c r="V42" s="67"/>
    </row>
    <row r="43" spans="1:22">
      <c r="A43" s="182"/>
      <c r="B43" s="198"/>
      <c r="C43" s="199"/>
      <c r="D43" s="182"/>
      <c r="E43" s="182"/>
      <c r="F43" s="182"/>
      <c r="G43" s="182"/>
      <c r="H43" s="182"/>
      <c r="I43" s="182"/>
      <c r="J43" s="182"/>
      <c r="K43" s="182"/>
      <c r="L43" s="182"/>
      <c r="M43" s="182"/>
      <c r="N43" s="182"/>
      <c r="O43" s="182"/>
      <c r="P43" s="182"/>
      <c r="Q43" s="182"/>
      <c r="R43" s="66"/>
      <c r="S43" s="67"/>
      <c r="T43" s="67"/>
      <c r="U43" s="67"/>
      <c r="V43" s="67"/>
    </row>
    <row r="44" spans="1:22">
      <c r="A44" s="182"/>
      <c r="B44" s="182"/>
      <c r="C44" s="182"/>
      <c r="D44" s="182"/>
      <c r="E44" s="182"/>
      <c r="F44" s="182"/>
      <c r="G44" s="182"/>
      <c r="H44" s="182"/>
      <c r="I44" s="182"/>
      <c r="J44" s="182"/>
      <c r="K44" s="182"/>
      <c r="L44" s="182"/>
      <c r="M44" s="182"/>
      <c r="N44" s="182"/>
      <c r="O44" s="182"/>
      <c r="P44" s="182"/>
      <c r="Q44" s="182"/>
    </row>
    <row r="45" spans="1:22">
      <c r="A45" s="182"/>
      <c r="B45" s="182"/>
      <c r="C45" s="182"/>
      <c r="D45" s="182"/>
      <c r="E45" s="182"/>
      <c r="F45" s="182"/>
      <c r="G45" s="182"/>
      <c r="H45" s="182"/>
      <c r="I45" s="182"/>
      <c r="J45" s="182"/>
      <c r="K45" s="182"/>
      <c r="L45" s="182"/>
      <c r="M45" s="182"/>
      <c r="N45" s="182"/>
      <c r="O45" s="182"/>
      <c r="P45" s="182"/>
      <c r="Q45" s="182"/>
    </row>
    <row r="46" spans="1:22">
      <c r="A46" s="182"/>
      <c r="B46" s="182"/>
      <c r="C46" s="182"/>
      <c r="D46" s="182"/>
      <c r="E46" s="182"/>
      <c r="F46" s="182"/>
      <c r="G46" s="182"/>
      <c r="H46" s="182"/>
      <c r="I46" s="182"/>
      <c r="J46" s="182"/>
      <c r="K46" s="182"/>
      <c r="L46" s="182"/>
      <c r="M46" s="182"/>
      <c r="N46" s="182"/>
      <c r="O46" s="182"/>
      <c r="P46" s="182"/>
      <c r="Q46" s="182"/>
    </row>
    <row r="47" spans="1:22">
      <c r="A47" s="182"/>
      <c r="B47" s="182"/>
      <c r="C47" s="182"/>
      <c r="D47" s="182"/>
      <c r="E47" s="182"/>
      <c r="F47" s="182"/>
      <c r="G47" s="182"/>
      <c r="H47" s="182"/>
      <c r="I47" s="182"/>
      <c r="J47" s="182"/>
      <c r="K47" s="182"/>
      <c r="L47" s="182"/>
      <c r="M47" s="182"/>
      <c r="N47" s="182"/>
      <c r="O47" s="182"/>
      <c r="P47" s="182"/>
      <c r="Q47" s="182"/>
    </row>
    <row r="48" spans="1:22">
      <c r="A48" s="182"/>
      <c r="B48" s="182"/>
      <c r="C48" s="182"/>
      <c r="D48" s="182"/>
      <c r="E48" s="182"/>
      <c r="F48" s="182"/>
      <c r="G48" s="182"/>
      <c r="H48" s="182"/>
      <c r="I48" s="182"/>
      <c r="J48" s="182"/>
      <c r="K48" s="182"/>
      <c r="L48" s="182"/>
      <c r="M48" s="182"/>
      <c r="N48" s="182"/>
      <c r="O48" s="182"/>
      <c r="P48" s="182"/>
      <c r="Q48" s="182"/>
    </row>
    <row r="49" spans="1:17">
      <c r="A49" s="182"/>
      <c r="B49" s="182"/>
      <c r="C49" s="182"/>
      <c r="D49" s="182"/>
      <c r="E49" s="182"/>
      <c r="F49" s="182"/>
      <c r="G49" s="182"/>
      <c r="H49" s="182"/>
      <c r="I49" s="182"/>
      <c r="J49" s="182"/>
      <c r="K49" s="182"/>
      <c r="L49" s="182"/>
      <c r="M49" s="182"/>
      <c r="N49" s="182"/>
      <c r="O49" s="182"/>
      <c r="P49" s="182"/>
      <c r="Q49" s="182"/>
    </row>
    <row r="50" spans="1:17">
      <c r="A50" s="182"/>
      <c r="B50" s="506" t="s">
        <v>197</v>
      </c>
      <c r="C50" s="506"/>
      <c r="D50" s="506"/>
      <c r="E50" s="506"/>
      <c r="F50" s="506"/>
      <c r="G50" s="507" t="s">
        <v>199</v>
      </c>
      <c r="H50" s="507"/>
      <c r="I50" s="507"/>
      <c r="J50" s="507"/>
      <c r="K50" s="505" t="s">
        <v>198</v>
      </c>
      <c r="L50" s="505"/>
      <c r="M50" s="505"/>
      <c r="N50" s="505"/>
      <c r="O50" s="505"/>
      <c r="P50" s="505"/>
      <c r="Q50" s="188" t="s">
        <v>200</v>
      </c>
    </row>
    <row r="51" spans="1:17" ht="63.75">
      <c r="A51" s="182"/>
      <c r="B51" s="189"/>
      <c r="C51" s="190" t="s">
        <v>1</v>
      </c>
      <c r="D51" s="190" t="s">
        <v>139</v>
      </c>
      <c r="E51" s="190" t="s">
        <v>140</v>
      </c>
      <c r="F51" s="438" t="s">
        <v>141</v>
      </c>
      <c r="G51" s="191" t="s">
        <v>184</v>
      </c>
      <c r="H51" s="191" t="s">
        <v>166</v>
      </c>
      <c r="I51" s="191" t="s">
        <v>167</v>
      </c>
      <c r="J51" s="191" t="s">
        <v>206</v>
      </c>
      <c r="K51" s="192" t="s">
        <v>226</v>
      </c>
      <c r="L51" s="192" t="s">
        <v>225</v>
      </c>
      <c r="M51" s="192" t="s">
        <v>227</v>
      </c>
      <c r="N51" s="192" t="s">
        <v>231</v>
      </c>
      <c r="O51" s="192" t="s">
        <v>229</v>
      </c>
      <c r="P51" s="192" t="s">
        <v>173</v>
      </c>
      <c r="Q51" s="193" t="s">
        <v>230</v>
      </c>
    </row>
    <row r="52" spans="1:17">
      <c r="A52" s="182"/>
      <c r="B52" s="189" t="s">
        <v>7</v>
      </c>
      <c r="C52" s="207">
        <f>C17</f>
        <v>0.13320000000000001</v>
      </c>
      <c r="D52" s="207">
        <f>'Scenario''s'!C50</f>
        <v>0.20747361319821958</v>
      </c>
      <c r="E52" s="207">
        <f>'Scenario''s'!D50</f>
        <v>0.15244901232376742</v>
      </c>
      <c r="F52" s="207">
        <f>'Scenario''s'!E50</f>
        <v>0.64007737447801294</v>
      </c>
      <c r="G52" s="195">
        <f>Samenstelling!X11</f>
        <v>12.658111426549997</v>
      </c>
      <c r="H52" s="195">
        <f>Samenstelling!Y11</f>
        <v>-1.6620756427039998</v>
      </c>
      <c r="I52" s="195">
        <f>Samenstelling!Z11</f>
        <v>1.23555414465</v>
      </c>
      <c r="J52" s="195">
        <f t="shared" ref="J52:J60" si="12">G128</f>
        <v>0.71827838196923077</v>
      </c>
      <c r="K52" s="196">
        <f t="shared" ref="K52:K59" si="13">D52*G52*(1-$C$8)</f>
        <v>-1.3131120569659989</v>
      </c>
      <c r="L52" s="196">
        <f t="shared" ref="L52:M59" si="14">E52*H52</f>
        <v>-0.25338179013761575</v>
      </c>
      <c r="M52" s="196">
        <f t="shared" si="14"/>
        <v>0.79085025293299904</v>
      </c>
      <c r="N52" s="196">
        <f t="shared" ref="N52:N59" si="15">D52*J52</f>
        <v>0.1490238111893272</v>
      </c>
      <c r="O52" s="196">
        <f t="shared" ref="O52:O60" si="16">SUM(K52:N52)</f>
        <v>-0.62661978298128851</v>
      </c>
      <c r="P52" s="196">
        <f t="shared" ref="P52:P60" si="17">C52*O52</f>
        <v>-8.3465755093107635E-2</v>
      </c>
      <c r="Q52" s="197">
        <f t="shared" ref="Q52:Q60" si="18">P52*$C$9</f>
        <v>0</v>
      </c>
    </row>
    <row r="53" spans="1:17">
      <c r="A53" s="182"/>
      <c r="B53" s="189" t="s">
        <v>63</v>
      </c>
      <c r="C53" s="207">
        <f t="shared" ref="C53:C60" si="19">C18</f>
        <v>0.1895</v>
      </c>
      <c r="D53" s="207">
        <f>'Scenario''s'!C51</f>
        <v>0.29334133855464578</v>
      </c>
      <c r="E53" s="207">
        <f>'Scenario''s'!D51</f>
        <v>0.45273700544722933</v>
      </c>
      <c r="F53" s="207">
        <f>'Scenario''s'!E51</f>
        <v>0.25392165599812483</v>
      </c>
      <c r="G53" s="195">
        <f>Samenstelling!X12</f>
        <v>16.644297993449999</v>
      </c>
      <c r="H53" s="195">
        <f>Samenstelling!Y12</f>
        <v>-9.3759894691764991</v>
      </c>
      <c r="I53" s="195">
        <f>Samenstelling!Z12</f>
        <v>1.0185757819350001</v>
      </c>
      <c r="J53" s="195">
        <f t="shared" si="12"/>
        <v>1.726802246423077</v>
      </c>
      <c r="K53" s="196">
        <f t="shared" si="13"/>
        <v>-2.4412303263505137</v>
      </c>
      <c r="L53" s="196">
        <f t="shared" si="14"/>
        <v>-4.244857395379726</v>
      </c>
      <c r="M53" s="196">
        <f t="shared" si="14"/>
        <v>0.25863844930852009</v>
      </c>
      <c r="N53" s="196">
        <f t="shared" si="15"/>
        <v>0.50654248238491473</v>
      </c>
      <c r="O53" s="196">
        <f t="shared" si="16"/>
        <v>-5.9209067900368053</v>
      </c>
      <c r="P53" s="196">
        <f t="shared" si="17"/>
        <v>-1.1220118367119747</v>
      </c>
      <c r="Q53" s="197">
        <f t="shared" si="18"/>
        <v>0</v>
      </c>
    </row>
    <row r="54" spans="1:17">
      <c r="A54" s="182"/>
      <c r="B54" s="189" t="s">
        <v>9</v>
      </c>
      <c r="C54" s="207">
        <f t="shared" si="19"/>
        <v>0.28129999999999999</v>
      </c>
      <c r="D54" s="207">
        <f>'Scenario''s'!C52</f>
        <v>0.27082417582417584</v>
      </c>
      <c r="E54" s="207">
        <f>'Scenario''s'!D52</f>
        <v>0.17930553053503873</v>
      </c>
      <c r="F54" s="207">
        <f>'Scenario''s'!E52</f>
        <v>0.54987029364078543</v>
      </c>
      <c r="G54" s="195">
        <f>Samenstelling!X13</f>
        <v>2.0679402111298124</v>
      </c>
      <c r="H54" s="195">
        <f>Samenstelling!Y13</f>
        <v>-1.9278207108374998</v>
      </c>
      <c r="I54" s="195">
        <f>Samenstelling!Z13</f>
        <v>0.14802009192666665</v>
      </c>
      <c r="J54" s="195">
        <f t="shared" si="12"/>
        <v>3.2395880431038462</v>
      </c>
      <c r="K54" s="196">
        <f t="shared" si="13"/>
        <v>-0.28002410166645181</v>
      </c>
      <c r="L54" s="196">
        <f t="shared" si="14"/>
        <v>-0.34566891533315341</v>
      </c>
      <c r="M54" s="196">
        <f t="shared" si="14"/>
        <v>8.139185141245224E-2</v>
      </c>
      <c r="N54" s="196">
        <f t="shared" si="15"/>
        <v>0.87735876178345373</v>
      </c>
      <c r="O54" s="196">
        <f t="shared" si="16"/>
        <v>0.33305759619630071</v>
      </c>
      <c r="P54" s="196">
        <f t="shared" si="17"/>
        <v>9.3689101810019382E-2</v>
      </c>
      <c r="Q54" s="197">
        <f t="shared" si="18"/>
        <v>0</v>
      </c>
    </row>
    <row r="55" spans="1:17">
      <c r="A55" s="182"/>
      <c r="B55" s="189" t="s">
        <v>208</v>
      </c>
      <c r="C55" s="207">
        <f t="shared" si="19"/>
        <v>8.6800000000000002E-2</v>
      </c>
      <c r="D55" s="207">
        <f>'Scenario''s'!C53</f>
        <v>5.7122580645161292E-2</v>
      </c>
      <c r="E55" s="207">
        <f>'Scenario''s'!D53</f>
        <v>0.41615333475753041</v>
      </c>
      <c r="F55" s="207">
        <f>'Scenario''s'!E53</f>
        <v>0.52672408459730824</v>
      </c>
      <c r="G55" s="195">
        <f>Samenstelling!X14</f>
        <v>1.723509516945652</v>
      </c>
      <c r="H55" s="195">
        <f>Samenstelling!Y14</f>
        <v>-1.2320649717224998</v>
      </c>
      <c r="I55" s="195">
        <f>Samenstelling!Z14</f>
        <v>0.13254228765000001</v>
      </c>
      <c r="J55" s="195">
        <f t="shared" si="12"/>
        <v>1.726802246423077</v>
      </c>
      <c r="K55" s="196">
        <f t="shared" si="13"/>
        <v>-4.9225655687215493E-2</v>
      </c>
      <c r="L55" s="196">
        <f t="shared" si="14"/>
        <v>-0.51272794662026067</v>
      </c>
      <c r="M55" s="196">
        <f t="shared" si="14"/>
        <v>6.9813215132879372E-2</v>
      </c>
      <c r="N55" s="196">
        <f t="shared" si="15"/>
        <v>9.8639400579547898E-2</v>
      </c>
      <c r="O55" s="196">
        <f t="shared" si="16"/>
        <v>-0.3935009865950489</v>
      </c>
      <c r="P55" s="196">
        <f t="shared" si="17"/>
        <v>-3.4155885636450244E-2</v>
      </c>
      <c r="Q55" s="197">
        <f t="shared" si="18"/>
        <v>0</v>
      </c>
    </row>
    <row r="56" spans="1:17">
      <c r="A56" s="182"/>
      <c r="B56" s="189" t="s">
        <v>10</v>
      </c>
      <c r="C56" s="207">
        <f t="shared" si="19"/>
        <v>7.0000000000000001E-3</v>
      </c>
      <c r="D56" s="207">
        <f>'Scenario''s'!C54</f>
        <v>0.56365740740740733</v>
      </c>
      <c r="E56" s="207">
        <f>'Scenario''s'!D54</f>
        <v>0.34907407407407404</v>
      </c>
      <c r="F56" s="207">
        <f>'Scenario''s'!E54</f>
        <v>8.7268518518518509E-2</v>
      </c>
      <c r="G56" s="195">
        <f>Samenstelling!X15</f>
        <v>7.6683695724999996</v>
      </c>
      <c r="H56" s="195">
        <f>Samenstelling!Y15</f>
        <v>-5.6427090036209995</v>
      </c>
      <c r="I56" s="195">
        <f>Samenstelling!Z15</f>
        <v>0.52944811088999999</v>
      </c>
      <c r="J56" s="195">
        <f t="shared" si="12"/>
        <v>3.2395880431038462</v>
      </c>
      <c r="K56" s="196">
        <f t="shared" si="13"/>
        <v>-2.1611666561385992</v>
      </c>
      <c r="L56" s="196">
        <f t="shared" si="14"/>
        <v>-1.9697234207084413</v>
      </c>
      <c r="M56" s="196">
        <f t="shared" si="14"/>
        <v>4.6204152269798605E-2</v>
      </c>
      <c r="N56" s="196">
        <f t="shared" si="15"/>
        <v>1.82601779744395</v>
      </c>
      <c r="O56" s="196">
        <f t="shared" si="16"/>
        <v>-2.2586681271332916</v>
      </c>
      <c r="P56" s="196">
        <f t="shared" si="17"/>
        <v>-1.581067688993304E-2</v>
      </c>
      <c r="Q56" s="197">
        <f t="shared" si="18"/>
        <v>0</v>
      </c>
    </row>
    <row r="57" spans="1:17">
      <c r="A57" s="182"/>
      <c r="B57" s="189" t="s">
        <v>70</v>
      </c>
      <c r="C57" s="207">
        <f t="shared" si="19"/>
        <v>6.6299999999999998E-2</v>
      </c>
      <c r="D57" s="207">
        <f>'Scenario''s'!C55</f>
        <v>0.30410949919919128</v>
      </c>
      <c r="E57" s="207">
        <f>'Scenario''s'!D55</f>
        <v>0.66109597576076828</v>
      </c>
      <c r="F57" s="207">
        <f>'Scenario''s'!E55</f>
        <v>3.4794525040040436E-2</v>
      </c>
      <c r="G57" s="195">
        <f>Samenstelling!X16</f>
        <v>1.9949127317499997</v>
      </c>
      <c r="H57" s="195">
        <f>Samenstelling!Y16</f>
        <v>-0.73811771074749988</v>
      </c>
      <c r="I57" s="195">
        <f>Samenstelling!Z16</f>
        <v>0.14549920475</v>
      </c>
      <c r="J57" s="195">
        <f t="shared" si="12"/>
        <v>1.726802246423077</v>
      </c>
      <c r="K57" s="196">
        <f t="shared" si="13"/>
        <v>-0.30333595589929152</v>
      </c>
      <c r="L57" s="196">
        <f t="shared" si="14"/>
        <v>-0.48796664821292296</v>
      </c>
      <c r="M57" s="196">
        <f t="shared" si="14"/>
        <v>5.062575722979845E-3</v>
      </c>
      <c r="N57" s="196">
        <f t="shared" si="15"/>
        <v>0.52513696637576046</v>
      </c>
      <c r="O57" s="196">
        <f t="shared" si="16"/>
        <v>-0.26110306201347411</v>
      </c>
      <c r="P57" s="196">
        <f t="shared" si="17"/>
        <v>-1.7311133011493333E-2</v>
      </c>
      <c r="Q57" s="197">
        <f t="shared" si="18"/>
        <v>0</v>
      </c>
    </row>
    <row r="58" spans="1:17">
      <c r="A58" s="182"/>
      <c r="B58" s="189" t="s">
        <v>8</v>
      </c>
      <c r="C58" s="207">
        <f t="shared" si="19"/>
        <v>2.8899999999999999E-2</v>
      </c>
      <c r="D58" s="207">
        <f>'Scenario''s'!C56</f>
        <v>0.31758249195036414</v>
      </c>
      <c r="E58" s="207">
        <f>'Scenario''s'!D56</f>
        <v>0.34120875402481787</v>
      </c>
      <c r="F58" s="207">
        <f>'Scenario''s'!E56</f>
        <v>0.34120875402481787</v>
      </c>
      <c r="G58" s="195">
        <f>Samenstelling!X17</f>
        <v>2.7763693960978255</v>
      </c>
      <c r="H58" s="195">
        <f>Samenstelling!Y17</f>
        <v>-1.4178570389075</v>
      </c>
      <c r="I58" s="195">
        <f>Samenstelling!Z17</f>
        <v>0.84271934844999996</v>
      </c>
      <c r="J58" s="195">
        <f t="shared" si="12"/>
        <v>1.726802246423077</v>
      </c>
      <c r="K58" s="196">
        <f t="shared" si="13"/>
        <v>-0.44086315569373752</v>
      </c>
      <c r="L58" s="196">
        <f t="shared" si="14"/>
        <v>-0.48378523363094578</v>
      </c>
      <c r="M58" s="196">
        <f t="shared" si="14"/>
        <v>0.28754321887723083</v>
      </c>
      <c r="N58" s="196">
        <f t="shared" si="15"/>
        <v>0.54840216052452762</v>
      </c>
      <c r="O58" s="196">
        <f t="shared" si="16"/>
        <v>-8.8703009922924791E-2</v>
      </c>
      <c r="P58" s="196">
        <f t="shared" si="17"/>
        <v>-2.5635169867725262E-3</v>
      </c>
      <c r="Q58" s="197">
        <f t="shared" si="18"/>
        <v>0</v>
      </c>
    </row>
    <row r="59" spans="1:17">
      <c r="A59" s="182"/>
      <c r="B59" s="189" t="s">
        <v>71</v>
      </c>
      <c r="C59" s="207">
        <f t="shared" si="19"/>
        <v>0.13900000000000001</v>
      </c>
      <c r="D59" s="207">
        <f>'Scenario''s'!C57</f>
        <v>0.56690955936790743</v>
      </c>
      <c r="E59" s="207">
        <f>'Scenario''s'!D57</f>
        <v>0.2165452203160462</v>
      </c>
      <c r="F59" s="207">
        <f>'Scenario''s'!E57</f>
        <v>0.2165452203160462</v>
      </c>
      <c r="G59" s="195">
        <f>Samenstelling!X18</f>
        <v>2.4375261063913043</v>
      </c>
      <c r="H59" s="195">
        <f>Samenstelling!Y18</f>
        <v>-0.6822169603399999</v>
      </c>
      <c r="I59" s="195">
        <f>Samenstelling!Z18</f>
        <v>0.4875818857</v>
      </c>
      <c r="J59" s="195">
        <f t="shared" si="12"/>
        <v>1.726802246423077</v>
      </c>
      <c r="K59" s="196">
        <f t="shared" si="13"/>
        <v>-0.69092842546103272</v>
      </c>
      <c r="L59" s="196">
        <f t="shared" si="14"/>
        <v>-0.14773082198016863</v>
      </c>
      <c r="M59" s="196">
        <f t="shared" si="14"/>
        <v>0.10558352686101975</v>
      </c>
      <c r="N59" s="196">
        <f t="shared" si="15"/>
        <v>0.97894070063521932</v>
      </c>
      <c r="O59" s="196">
        <f t="shared" si="16"/>
        <v>0.24586498005503776</v>
      </c>
      <c r="P59" s="196">
        <f t="shared" si="17"/>
        <v>3.4175232227650253E-2</v>
      </c>
      <c r="Q59" s="197">
        <f t="shared" si="18"/>
        <v>0</v>
      </c>
    </row>
    <row r="60" spans="1:17">
      <c r="A60" s="182"/>
      <c r="B60" s="189" t="s">
        <v>11</v>
      </c>
      <c r="C60" s="207">
        <f t="shared" si="19"/>
        <v>6.8000000000000005E-2</v>
      </c>
      <c r="D60" s="207">
        <f>'Scenario''s'!C58</f>
        <v>0.32262758326838409</v>
      </c>
      <c r="E60" s="207">
        <f>'Scenario''s'!D58</f>
        <v>0.34607111340490904</v>
      </c>
      <c r="F60" s="207">
        <f>'Scenario''s'!E58</f>
        <v>0.33130130332670682</v>
      </c>
      <c r="G60" s="195">
        <f>AVERAGE(G52:G59)</f>
        <v>5.9963796193518233</v>
      </c>
      <c r="H60" s="195">
        <f>AVERAGE(H52:H59)</f>
        <v>-2.834856438507062</v>
      </c>
      <c r="I60" s="195">
        <f t="shared" ref="I60" si="20">AVERAGE(I52:I59)</f>
        <v>0.56749260699395843</v>
      </c>
      <c r="J60" s="195">
        <f t="shared" si="12"/>
        <v>1.726802246423077</v>
      </c>
      <c r="K60" s="196">
        <f>AVERAGE(K52:K59)</f>
        <v>-0.95998579173285514</v>
      </c>
      <c r="L60" s="196">
        <f>AVERAGE(L52:L59)</f>
        <v>-1.0557302715004042</v>
      </c>
      <c r="M60" s="196">
        <f>AVERAGE(M52:M59)</f>
        <v>0.205635905314735</v>
      </c>
      <c r="N60" s="196">
        <f>AVERAGE(N52:N59)</f>
        <v>0.68875776011458756</v>
      </c>
      <c r="O60" s="196">
        <f t="shared" si="16"/>
        <v>-1.1213223978039368</v>
      </c>
      <c r="P60" s="196">
        <f t="shared" si="17"/>
        <v>-7.6249923050667703E-2</v>
      </c>
      <c r="Q60" s="197">
        <f t="shared" si="18"/>
        <v>0</v>
      </c>
    </row>
    <row r="61" spans="1:17">
      <c r="A61" s="182"/>
      <c r="B61" s="182"/>
      <c r="C61" s="182"/>
      <c r="D61" s="182"/>
      <c r="E61" s="182"/>
      <c r="F61" s="182"/>
      <c r="G61" s="182"/>
      <c r="H61" s="182"/>
      <c r="I61" s="182"/>
      <c r="J61" s="182"/>
      <c r="K61" s="182"/>
      <c r="L61" s="182"/>
      <c r="M61" s="182"/>
      <c r="N61" s="182"/>
      <c r="O61" s="182"/>
      <c r="P61" s="182"/>
      <c r="Q61" s="182"/>
    </row>
    <row r="62" spans="1:17">
      <c r="A62" s="182"/>
      <c r="B62" s="508" t="s">
        <v>200</v>
      </c>
      <c r="C62" s="508"/>
      <c r="D62" s="508"/>
      <c r="E62" s="508"/>
      <c r="F62" s="508"/>
      <c r="G62" s="182"/>
      <c r="H62" s="182"/>
      <c r="I62" s="182"/>
      <c r="J62" s="182"/>
      <c r="K62" s="182"/>
      <c r="L62" s="182"/>
      <c r="M62" s="182"/>
      <c r="N62" s="182"/>
      <c r="O62" s="182"/>
      <c r="P62" s="182"/>
      <c r="Q62" s="182"/>
    </row>
    <row r="63" spans="1:17" ht="25.5">
      <c r="A63" s="182"/>
      <c r="B63" s="201"/>
      <c r="C63" s="193" t="s">
        <v>201</v>
      </c>
      <c r="D63" s="193" t="s">
        <v>202</v>
      </c>
      <c r="E63" s="193" t="s">
        <v>203</v>
      </c>
      <c r="F63" s="193" t="s">
        <v>204</v>
      </c>
      <c r="G63" s="182"/>
      <c r="H63" s="182"/>
      <c r="I63" s="182"/>
      <c r="J63" s="182"/>
      <c r="K63" s="182"/>
      <c r="L63" s="182"/>
      <c r="M63" s="182"/>
      <c r="N63" s="182"/>
      <c r="O63" s="182"/>
      <c r="P63" s="182"/>
      <c r="Q63" s="182"/>
    </row>
    <row r="64" spans="1:17">
      <c r="A64" s="182"/>
      <c r="B64" s="201"/>
      <c r="C64" s="193" t="s">
        <v>232</v>
      </c>
      <c r="D64" s="193" t="s">
        <v>232</v>
      </c>
      <c r="E64" s="193" t="s">
        <v>232</v>
      </c>
      <c r="F64" s="193" t="s">
        <v>232</v>
      </c>
      <c r="G64" s="182"/>
      <c r="H64" s="182"/>
      <c r="I64" s="182"/>
      <c r="J64" s="182"/>
      <c r="K64" s="182"/>
      <c r="L64" s="182"/>
      <c r="M64" s="182"/>
      <c r="N64" s="182"/>
      <c r="O64" s="182"/>
      <c r="P64" s="182"/>
      <c r="Q64" s="182"/>
    </row>
    <row r="65" spans="1:17">
      <c r="A65" s="182"/>
      <c r="B65" s="197" t="s">
        <v>7</v>
      </c>
      <c r="C65" s="197">
        <f t="shared" ref="C65:C73" si="21">K52*C52*$C$9</f>
        <v>0</v>
      </c>
      <c r="D65" s="197">
        <f t="shared" ref="D65:D73" si="22">L52*C52*$C$9</f>
        <v>0</v>
      </c>
      <c r="E65" s="197">
        <f t="shared" ref="E65:E73" si="23">M52*C52*$C$9</f>
        <v>0</v>
      </c>
      <c r="F65" s="197">
        <f t="shared" ref="F65:F73" si="24">N52*C52*$C$9</f>
        <v>0</v>
      </c>
      <c r="G65" s="182"/>
      <c r="H65" s="182"/>
      <c r="I65" s="182"/>
      <c r="J65" s="182"/>
      <c r="K65" s="182"/>
      <c r="L65" s="182"/>
      <c r="M65" s="182"/>
      <c r="N65" s="182"/>
      <c r="O65" s="182"/>
      <c r="P65" s="182"/>
      <c r="Q65" s="182"/>
    </row>
    <row r="66" spans="1:17">
      <c r="A66" s="182"/>
      <c r="B66" s="201" t="s">
        <v>63</v>
      </c>
      <c r="C66" s="197">
        <f t="shared" si="21"/>
        <v>0</v>
      </c>
      <c r="D66" s="197">
        <f t="shared" si="22"/>
        <v>0</v>
      </c>
      <c r="E66" s="197">
        <f t="shared" si="23"/>
        <v>0</v>
      </c>
      <c r="F66" s="197">
        <f t="shared" si="24"/>
        <v>0</v>
      </c>
      <c r="G66" s="182"/>
      <c r="H66" s="182"/>
      <c r="I66" s="182"/>
      <c r="J66" s="182"/>
      <c r="K66" s="182"/>
      <c r="L66" s="182"/>
      <c r="M66" s="182"/>
      <c r="N66" s="182"/>
      <c r="O66" s="182"/>
      <c r="P66" s="182"/>
      <c r="Q66" s="182"/>
    </row>
    <row r="67" spans="1:17">
      <c r="A67" s="182"/>
      <c r="B67" s="201" t="s">
        <v>9</v>
      </c>
      <c r="C67" s="197">
        <f t="shared" si="21"/>
        <v>0</v>
      </c>
      <c r="D67" s="197">
        <f t="shared" si="22"/>
        <v>0</v>
      </c>
      <c r="E67" s="197">
        <f t="shared" si="23"/>
        <v>0</v>
      </c>
      <c r="F67" s="197">
        <f t="shared" si="24"/>
        <v>0</v>
      </c>
      <c r="G67" s="182"/>
      <c r="H67" s="182"/>
      <c r="I67" s="182"/>
      <c r="J67" s="182"/>
      <c r="K67" s="182"/>
      <c r="L67" s="182"/>
      <c r="M67" s="182"/>
      <c r="N67" s="182"/>
      <c r="O67" s="182"/>
      <c r="P67" s="182"/>
      <c r="Q67" s="182"/>
    </row>
    <row r="68" spans="1:17">
      <c r="A68" s="182"/>
      <c r="B68" s="201" t="s">
        <v>208</v>
      </c>
      <c r="C68" s="197">
        <f t="shared" si="21"/>
        <v>0</v>
      </c>
      <c r="D68" s="197">
        <f t="shared" si="22"/>
        <v>0</v>
      </c>
      <c r="E68" s="197">
        <f t="shared" si="23"/>
        <v>0</v>
      </c>
      <c r="F68" s="197">
        <f t="shared" si="24"/>
        <v>0</v>
      </c>
      <c r="G68" s="182"/>
      <c r="H68" s="182"/>
      <c r="I68" s="182"/>
      <c r="J68" s="182"/>
      <c r="K68" s="182"/>
      <c r="L68" s="182"/>
      <c r="M68" s="182"/>
      <c r="N68" s="182"/>
      <c r="O68" s="182"/>
      <c r="P68" s="182"/>
      <c r="Q68" s="182"/>
    </row>
    <row r="69" spans="1:17">
      <c r="A69" s="182"/>
      <c r="B69" s="201" t="s">
        <v>10</v>
      </c>
      <c r="C69" s="197">
        <f t="shared" si="21"/>
        <v>0</v>
      </c>
      <c r="D69" s="197">
        <f t="shared" si="22"/>
        <v>0</v>
      </c>
      <c r="E69" s="197">
        <f t="shared" si="23"/>
        <v>0</v>
      </c>
      <c r="F69" s="197">
        <f t="shared" si="24"/>
        <v>0</v>
      </c>
      <c r="G69" s="182"/>
      <c r="H69" s="182"/>
      <c r="I69" s="182"/>
      <c r="J69" s="182"/>
      <c r="K69" s="182"/>
      <c r="L69" s="182"/>
      <c r="M69" s="182"/>
      <c r="N69" s="182"/>
      <c r="O69" s="182"/>
      <c r="P69" s="182"/>
      <c r="Q69" s="182"/>
    </row>
    <row r="70" spans="1:17">
      <c r="A70" s="182"/>
      <c r="B70" s="201" t="s">
        <v>70</v>
      </c>
      <c r="C70" s="197">
        <f t="shared" si="21"/>
        <v>0</v>
      </c>
      <c r="D70" s="197">
        <f t="shared" si="22"/>
        <v>0</v>
      </c>
      <c r="E70" s="197">
        <f t="shared" si="23"/>
        <v>0</v>
      </c>
      <c r="F70" s="197">
        <f t="shared" si="24"/>
        <v>0</v>
      </c>
      <c r="G70" s="182"/>
      <c r="H70" s="182"/>
      <c r="I70" s="182"/>
      <c r="J70" s="182"/>
      <c r="K70" s="182"/>
      <c r="L70" s="182"/>
      <c r="M70" s="182"/>
      <c r="N70" s="182"/>
      <c r="O70" s="182"/>
      <c r="P70" s="182"/>
      <c r="Q70" s="182"/>
    </row>
    <row r="71" spans="1:17">
      <c r="A71" s="182"/>
      <c r="B71" s="201" t="s">
        <v>8</v>
      </c>
      <c r="C71" s="197">
        <f t="shared" si="21"/>
        <v>0</v>
      </c>
      <c r="D71" s="197">
        <f t="shared" si="22"/>
        <v>0</v>
      </c>
      <c r="E71" s="197">
        <f t="shared" si="23"/>
        <v>0</v>
      </c>
      <c r="F71" s="197">
        <f t="shared" si="24"/>
        <v>0</v>
      </c>
      <c r="G71" s="182"/>
      <c r="H71" s="182"/>
      <c r="I71" s="182"/>
      <c r="J71" s="182"/>
      <c r="K71" s="182"/>
      <c r="L71" s="182"/>
      <c r="M71" s="182"/>
      <c r="N71" s="182"/>
      <c r="O71" s="182"/>
      <c r="P71" s="182"/>
      <c r="Q71" s="182"/>
    </row>
    <row r="72" spans="1:17">
      <c r="A72" s="182"/>
      <c r="B72" s="201" t="s">
        <v>71</v>
      </c>
      <c r="C72" s="197">
        <f t="shared" si="21"/>
        <v>0</v>
      </c>
      <c r="D72" s="197">
        <f t="shared" si="22"/>
        <v>0</v>
      </c>
      <c r="E72" s="197">
        <f t="shared" si="23"/>
        <v>0</v>
      </c>
      <c r="F72" s="197">
        <f t="shared" si="24"/>
        <v>0</v>
      </c>
      <c r="G72" s="182"/>
      <c r="H72" s="182"/>
      <c r="I72" s="182"/>
      <c r="J72" s="182"/>
      <c r="K72" s="182"/>
      <c r="L72" s="182"/>
      <c r="M72" s="182"/>
      <c r="N72" s="182"/>
      <c r="O72" s="182"/>
      <c r="P72" s="182"/>
      <c r="Q72" s="182"/>
    </row>
    <row r="73" spans="1:17">
      <c r="A73" s="182"/>
      <c r="B73" s="201" t="s">
        <v>11</v>
      </c>
      <c r="C73" s="203">
        <f t="shared" si="21"/>
        <v>0</v>
      </c>
      <c r="D73" s="203">
        <f t="shared" si="22"/>
        <v>0</v>
      </c>
      <c r="E73" s="203">
        <f t="shared" si="23"/>
        <v>0</v>
      </c>
      <c r="F73" s="203">
        <f t="shared" si="24"/>
        <v>0</v>
      </c>
      <c r="G73" s="182"/>
      <c r="H73" s="182"/>
      <c r="I73" s="182"/>
      <c r="J73" s="182"/>
      <c r="K73" s="182"/>
      <c r="L73" s="182"/>
      <c r="M73" s="182"/>
      <c r="N73" s="182"/>
      <c r="O73" s="182"/>
      <c r="P73" s="182"/>
      <c r="Q73" s="182"/>
    </row>
    <row r="74" spans="1:17">
      <c r="A74" s="182"/>
      <c r="B74" s="205" t="s">
        <v>3</v>
      </c>
      <c r="C74" s="197">
        <f>SUM(C65:C73)</f>
        <v>0</v>
      </c>
      <c r="D74" s="197">
        <f>SUM(D65:D73)</f>
        <v>0</v>
      </c>
      <c r="E74" s="197">
        <f>SUM(E65:E73)</f>
        <v>0</v>
      </c>
      <c r="F74" s="197">
        <f>SUM(F65:F73)</f>
        <v>0</v>
      </c>
      <c r="G74" s="182"/>
      <c r="H74" s="182"/>
      <c r="I74" s="182"/>
      <c r="J74" s="182"/>
      <c r="K74" s="182"/>
      <c r="L74" s="182"/>
      <c r="M74" s="182"/>
      <c r="N74" s="182"/>
      <c r="O74" s="182"/>
      <c r="P74" s="182"/>
      <c r="Q74" s="182"/>
    </row>
    <row r="75" spans="1:17">
      <c r="A75" s="182"/>
      <c r="B75" s="182"/>
      <c r="C75" s="182"/>
      <c r="D75" s="182"/>
      <c r="E75" s="182"/>
      <c r="F75" s="182"/>
      <c r="G75" s="182"/>
      <c r="H75" s="182"/>
      <c r="I75" s="182"/>
      <c r="J75" s="182"/>
      <c r="K75" s="182"/>
      <c r="L75" s="182"/>
      <c r="M75" s="182"/>
      <c r="N75" s="182"/>
      <c r="O75" s="182"/>
      <c r="P75" s="182"/>
      <c r="Q75" s="182"/>
    </row>
    <row r="76" spans="1:17">
      <c r="A76" s="182"/>
      <c r="B76" s="182"/>
      <c r="C76" s="182"/>
      <c r="D76" s="182"/>
      <c r="E76" s="182"/>
      <c r="F76" s="182"/>
      <c r="G76" s="182"/>
      <c r="H76" s="182"/>
      <c r="I76" s="182"/>
      <c r="J76" s="182"/>
      <c r="K76" s="182"/>
      <c r="L76" s="182"/>
      <c r="M76" s="182"/>
      <c r="N76" s="182"/>
      <c r="O76" s="182"/>
      <c r="P76" s="182"/>
      <c r="Q76" s="182"/>
    </row>
    <row r="77" spans="1:17">
      <c r="A77" s="182"/>
      <c r="B77" s="182"/>
      <c r="C77" s="182"/>
      <c r="D77" s="182"/>
      <c r="E77" s="182"/>
      <c r="F77" s="182"/>
      <c r="G77" s="182"/>
      <c r="H77" s="182"/>
      <c r="I77" s="182"/>
      <c r="J77" s="182"/>
      <c r="K77" s="182"/>
      <c r="L77" s="182"/>
      <c r="M77" s="182"/>
      <c r="N77" s="182"/>
      <c r="O77" s="182"/>
      <c r="P77" s="182"/>
      <c r="Q77" s="182"/>
    </row>
    <row r="78" spans="1:17">
      <c r="A78" s="182"/>
      <c r="B78" s="182"/>
      <c r="C78" s="182"/>
      <c r="D78" s="182"/>
      <c r="E78" s="182"/>
      <c r="F78" s="182"/>
      <c r="G78" s="182"/>
      <c r="H78" s="182"/>
      <c r="I78" s="182"/>
      <c r="J78" s="182"/>
      <c r="K78" s="182"/>
      <c r="L78" s="182"/>
      <c r="M78" s="182"/>
      <c r="N78" s="182"/>
      <c r="O78" s="182"/>
      <c r="P78" s="182"/>
      <c r="Q78" s="182"/>
    </row>
    <row r="79" spans="1:17">
      <c r="A79" s="182"/>
      <c r="B79" s="182"/>
      <c r="C79" s="182"/>
      <c r="D79" s="182"/>
      <c r="E79" s="182"/>
      <c r="F79" s="182"/>
      <c r="G79" s="182"/>
      <c r="H79" s="182"/>
      <c r="I79" s="182"/>
      <c r="J79" s="182"/>
      <c r="K79" s="182"/>
      <c r="L79" s="182"/>
      <c r="M79" s="182"/>
      <c r="N79" s="182"/>
      <c r="O79" s="182"/>
      <c r="P79" s="182"/>
      <c r="Q79" s="182"/>
    </row>
    <row r="80" spans="1:17">
      <c r="A80" s="182"/>
      <c r="B80" s="182"/>
      <c r="C80" s="182"/>
      <c r="D80" s="182"/>
      <c r="E80" s="182"/>
      <c r="F80" s="182"/>
      <c r="G80" s="182"/>
      <c r="H80" s="182"/>
      <c r="I80" s="182"/>
      <c r="J80" s="182"/>
      <c r="K80" s="182"/>
      <c r="L80" s="182"/>
      <c r="M80" s="182"/>
      <c r="N80" s="182"/>
      <c r="O80" s="182"/>
      <c r="P80" s="182"/>
      <c r="Q80" s="182"/>
    </row>
    <row r="81" spans="1:19">
      <c r="A81" s="182"/>
      <c r="B81" s="182"/>
      <c r="C81" s="182"/>
      <c r="D81" s="182"/>
      <c r="E81" s="182"/>
      <c r="F81" s="182"/>
      <c r="G81" s="182"/>
      <c r="H81" s="182"/>
      <c r="I81" s="182"/>
      <c r="J81" s="182"/>
      <c r="K81" s="182"/>
      <c r="L81" s="182"/>
      <c r="M81" s="182"/>
      <c r="N81" s="182"/>
      <c r="O81" s="182"/>
      <c r="P81" s="182"/>
      <c r="Q81" s="182"/>
    </row>
    <row r="82" spans="1:19">
      <c r="A82" s="182"/>
      <c r="B82" s="182"/>
      <c r="C82" s="182"/>
      <c r="D82" s="182"/>
      <c r="E82" s="182"/>
      <c r="F82" s="182"/>
      <c r="G82" s="182"/>
      <c r="H82" s="182"/>
      <c r="I82" s="182"/>
      <c r="J82" s="182"/>
      <c r="K82" s="182"/>
      <c r="L82" s="182"/>
      <c r="M82" s="182"/>
      <c r="N82" s="182"/>
      <c r="O82" s="182"/>
      <c r="P82" s="182"/>
      <c r="Q82" s="182"/>
    </row>
    <row r="83" spans="1:19">
      <c r="A83" s="182"/>
      <c r="B83" s="182"/>
      <c r="C83" s="182"/>
      <c r="D83" s="182"/>
      <c r="E83" s="182"/>
      <c r="F83" s="182"/>
      <c r="G83" s="182"/>
      <c r="H83" s="182"/>
      <c r="I83" s="182"/>
      <c r="J83" s="182"/>
      <c r="K83" s="182"/>
      <c r="L83" s="182"/>
      <c r="M83" s="182"/>
      <c r="N83" s="182"/>
      <c r="O83" s="182"/>
      <c r="P83" s="182"/>
      <c r="Q83" s="182"/>
    </row>
    <row r="84" spans="1:19">
      <c r="A84" s="182"/>
      <c r="B84" s="182"/>
      <c r="C84" s="182"/>
      <c r="D84" s="182"/>
      <c r="E84" s="182"/>
      <c r="F84" s="182"/>
      <c r="G84" s="182"/>
      <c r="H84" s="182"/>
      <c r="I84" s="182"/>
      <c r="J84" s="182"/>
      <c r="K84" s="182"/>
      <c r="L84" s="182"/>
      <c r="M84" s="182"/>
      <c r="N84" s="182"/>
      <c r="O84" s="182"/>
      <c r="P84" s="182"/>
      <c r="Q84" s="182"/>
    </row>
    <row r="85" spans="1:19" ht="13.9" customHeight="1">
      <c r="A85" s="182"/>
      <c r="B85" s="508" t="s">
        <v>200</v>
      </c>
      <c r="C85" s="508"/>
      <c r="D85" s="508"/>
      <c r="F85" s="508" t="s">
        <v>200</v>
      </c>
      <c r="G85" s="508"/>
      <c r="H85" s="508"/>
      <c r="I85" s="508"/>
      <c r="J85" s="508"/>
      <c r="K85" s="182"/>
      <c r="L85" s="508" t="s">
        <v>200</v>
      </c>
      <c r="M85" s="508"/>
      <c r="N85" s="508"/>
      <c r="O85" s="508"/>
      <c r="P85" s="508"/>
      <c r="Q85" s="508"/>
      <c r="R85" s="508"/>
      <c r="S85" s="508"/>
    </row>
    <row r="86" spans="1:19" ht="88.9" customHeight="1">
      <c r="A86" s="182"/>
      <c r="B86" s="201"/>
      <c r="C86" s="193" t="s">
        <v>233</v>
      </c>
      <c r="D86" s="193" t="s">
        <v>308</v>
      </c>
      <c r="F86" s="201"/>
      <c r="G86" s="193" t="s">
        <v>64</v>
      </c>
      <c r="H86" s="193" t="s">
        <v>16</v>
      </c>
      <c r="I86" s="193" t="s">
        <v>73</v>
      </c>
      <c r="J86" s="193" t="s">
        <v>185</v>
      </c>
      <c r="K86" s="182"/>
      <c r="L86" s="201"/>
      <c r="M86" s="193" t="s">
        <v>64</v>
      </c>
      <c r="N86" s="193" t="s">
        <v>16</v>
      </c>
      <c r="O86" s="193" t="s">
        <v>73</v>
      </c>
      <c r="P86" s="193" t="s">
        <v>185</v>
      </c>
      <c r="Q86" s="193" t="s">
        <v>256</v>
      </c>
      <c r="R86" s="98" t="s">
        <v>224</v>
      </c>
      <c r="S86" s="446" t="s">
        <v>315</v>
      </c>
    </row>
    <row r="87" spans="1:19" ht="16.899999999999999" customHeight="1">
      <c r="A87" s="182"/>
      <c r="B87" s="201"/>
      <c r="C87" s="193" t="s">
        <v>232</v>
      </c>
      <c r="D87" s="193" t="s">
        <v>232</v>
      </c>
      <c r="F87" s="201"/>
      <c r="G87" s="193" t="s">
        <v>232</v>
      </c>
      <c r="H87" s="193" t="s">
        <v>232</v>
      </c>
      <c r="I87" s="193" t="s">
        <v>232</v>
      </c>
      <c r="J87" s="193" t="s">
        <v>232</v>
      </c>
      <c r="K87" s="182"/>
      <c r="L87" s="201"/>
      <c r="M87" s="193" t="s">
        <v>232</v>
      </c>
      <c r="N87" s="193" t="s">
        <v>232</v>
      </c>
      <c r="O87" s="193" t="s">
        <v>232</v>
      </c>
      <c r="P87" s="193" t="s">
        <v>232</v>
      </c>
      <c r="Q87" s="208" t="s">
        <v>232</v>
      </c>
      <c r="R87" s="123" t="s">
        <v>232</v>
      </c>
      <c r="S87" s="444"/>
    </row>
    <row r="88" spans="1:19">
      <c r="A88" s="182"/>
      <c r="B88" s="201" t="s">
        <v>7</v>
      </c>
      <c r="C88" s="197">
        <f t="shared" ref="C88:C96" si="25">Q17-Q52</f>
        <v>0</v>
      </c>
      <c r="D88" s="197">
        <f>C88*-1</f>
        <v>0</v>
      </c>
      <c r="F88" s="201"/>
      <c r="G88" s="197">
        <f t="shared" ref="G88:G96" si="26">C30-C65</f>
        <v>0</v>
      </c>
      <c r="H88" s="197">
        <f t="shared" ref="H88:H96" si="27">D30-D65</f>
        <v>0</v>
      </c>
      <c r="I88" s="197">
        <f t="shared" ref="I88:I96" si="28">E30-E65</f>
        <v>0</v>
      </c>
      <c r="J88" s="197">
        <f t="shared" ref="J88:J96" si="29">F30-F65</f>
        <v>0</v>
      </c>
      <c r="K88" s="182"/>
      <c r="L88" s="201" t="s">
        <v>212</v>
      </c>
      <c r="M88" s="197">
        <f t="shared" ref="M88:R88" si="30">C39</f>
        <v>0</v>
      </c>
      <c r="N88" s="197">
        <f t="shared" si="30"/>
        <v>0</v>
      </c>
      <c r="O88" s="197">
        <f t="shared" si="30"/>
        <v>0</v>
      </c>
      <c r="P88" s="197">
        <f t="shared" si="30"/>
        <v>0</v>
      </c>
      <c r="Q88" s="197">
        <f t="shared" si="30"/>
        <v>0</v>
      </c>
      <c r="R88" s="99">
        <f t="shared" si="30"/>
        <v>0</v>
      </c>
      <c r="S88" s="445">
        <f>SUM(M88:R88)</f>
        <v>0</v>
      </c>
    </row>
    <row r="89" spans="1:19">
      <c r="A89" s="182"/>
      <c r="B89" s="201" t="s">
        <v>63</v>
      </c>
      <c r="C89" s="197">
        <f t="shared" si="25"/>
        <v>0</v>
      </c>
      <c r="D89" s="197">
        <f t="shared" ref="D89:D96" si="31">C89*-1</f>
        <v>0</v>
      </c>
      <c r="F89" s="201"/>
      <c r="G89" s="197">
        <f t="shared" si="26"/>
        <v>0</v>
      </c>
      <c r="H89" s="197">
        <f t="shared" si="27"/>
        <v>0</v>
      </c>
      <c r="I89" s="197">
        <f t="shared" si="28"/>
        <v>0</v>
      </c>
      <c r="J89" s="197">
        <f t="shared" si="29"/>
        <v>0</v>
      </c>
      <c r="K89" s="182"/>
      <c r="L89" s="201" t="s">
        <v>213</v>
      </c>
      <c r="M89" s="197">
        <f>C74</f>
        <v>0</v>
      </c>
      <c r="N89" s="197">
        <f>D74</f>
        <v>0</v>
      </c>
      <c r="O89" s="197">
        <f>E74</f>
        <v>0</v>
      </c>
      <c r="P89" s="197">
        <f>F74</f>
        <v>0</v>
      </c>
      <c r="Q89" s="201">
        <v>0</v>
      </c>
      <c r="R89" s="100">
        <v>0</v>
      </c>
      <c r="S89" s="445">
        <f>SUM(M89:R89)</f>
        <v>0</v>
      </c>
    </row>
    <row r="90" spans="1:19">
      <c r="A90" s="182"/>
      <c r="B90" s="201" t="s">
        <v>9</v>
      </c>
      <c r="C90" s="197">
        <f t="shared" si="25"/>
        <v>0</v>
      </c>
      <c r="D90" s="197">
        <f t="shared" si="31"/>
        <v>0</v>
      </c>
      <c r="F90" s="201"/>
      <c r="G90" s="197">
        <f t="shared" si="26"/>
        <v>0</v>
      </c>
      <c r="H90" s="197">
        <f t="shared" si="27"/>
        <v>0</v>
      </c>
      <c r="I90" s="197">
        <f t="shared" si="28"/>
        <v>0</v>
      </c>
      <c r="J90" s="197">
        <f t="shared" si="29"/>
        <v>0</v>
      </c>
      <c r="K90" s="182"/>
      <c r="L90" s="182"/>
      <c r="M90" s="182"/>
      <c r="N90" s="182"/>
      <c r="O90" s="182"/>
      <c r="P90" s="182"/>
      <c r="Q90" s="198"/>
    </row>
    <row r="91" spans="1:19">
      <c r="A91" s="182"/>
      <c r="B91" s="201" t="s">
        <v>208</v>
      </c>
      <c r="C91" s="197">
        <f t="shared" si="25"/>
        <v>0</v>
      </c>
      <c r="D91" s="197">
        <f t="shared" si="31"/>
        <v>0</v>
      </c>
      <c r="F91" s="201"/>
      <c r="G91" s="197">
        <f t="shared" si="26"/>
        <v>0</v>
      </c>
      <c r="H91" s="197">
        <f t="shared" si="27"/>
        <v>0</v>
      </c>
      <c r="I91" s="197">
        <f t="shared" si="28"/>
        <v>0</v>
      </c>
      <c r="J91" s="197">
        <f t="shared" si="29"/>
        <v>0</v>
      </c>
      <c r="K91" s="182"/>
      <c r="L91" s="182"/>
      <c r="M91" s="182"/>
      <c r="N91" s="182"/>
      <c r="O91" s="182"/>
      <c r="P91" s="182"/>
      <c r="Q91" s="182"/>
    </row>
    <row r="92" spans="1:19">
      <c r="A92" s="182"/>
      <c r="B92" s="201" t="s">
        <v>10</v>
      </c>
      <c r="C92" s="197">
        <f t="shared" si="25"/>
        <v>0</v>
      </c>
      <c r="D92" s="197">
        <f t="shared" si="31"/>
        <v>0</v>
      </c>
      <c r="F92" s="201"/>
      <c r="G92" s="197">
        <f t="shared" si="26"/>
        <v>0</v>
      </c>
      <c r="H92" s="197">
        <f t="shared" si="27"/>
        <v>0</v>
      </c>
      <c r="I92" s="197">
        <f t="shared" si="28"/>
        <v>0</v>
      </c>
      <c r="J92" s="197">
        <f t="shared" si="29"/>
        <v>0</v>
      </c>
      <c r="K92" s="182"/>
      <c r="L92" s="182"/>
      <c r="M92" s="182"/>
      <c r="N92" s="182"/>
      <c r="O92" s="182"/>
      <c r="P92" s="182"/>
      <c r="Q92" s="182"/>
    </row>
    <row r="93" spans="1:19">
      <c r="A93" s="182"/>
      <c r="B93" s="201" t="s">
        <v>70</v>
      </c>
      <c r="C93" s="197">
        <f t="shared" si="25"/>
        <v>0</v>
      </c>
      <c r="D93" s="197">
        <f t="shared" si="31"/>
        <v>0</v>
      </c>
      <c r="F93" s="201"/>
      <c r="G93" s="197">
        <f t="shared" si="26"/>
        <v>0</v>
      </c>
      <c r="H93" s="197">
        <f t="shared" si="27"/>
        <v>0</v>
      </c>
      <c r="I93" s="197">
        <f t="shared" si="28"/>
        <v>0</v>
      </c>
      <c r="J93" s="197">
        <f t="shared" si="29"/>
        <v>0</v>
      </c>
      <c r="K93" s="182"/>
      <c r="L93" s="182"/>
      <c r="M93" s="182"/>
      <c r="N93" s="182"/>
      <c r="O93" s="182"/>
      <c r="P93" s="182"/>
      <c r="Q93" s="182"/>
    </row>
    <row r="94" spans="1:19">
      <c r="A94" s="182"/>
      <c r="B94" s="201" t="s">
        <v>8</v>
      </c>
      <c r="C94" s="197">
        <f t="shared" si="25"/>
        <v>0</v>
      </c>
      <c r="D94" s="197">
        <f t="shared" si="31"/>
        <v>0</v>
      </c>
      <c r="F94" s="201"/>
      <c r="G94" s="197">
        <f t="shared" si="26"/>
        <v>0</v>
      </c>
      <c r="H94" s="197">
        <f t="shared" si="27"/>
        <v>0</v>
      </c>
      <c r="I94" s="197">
        <f t="shared" si="28"/>
        <v>0</v>
      </c>
      <c r="J94" s="197">
        <f t="shared" si="29"/>
        <v>0</v>
      </c>
      <c r="K94" s="182"/>
      <c r="L94" s="182"/>
      <c r="M94" s="182"/>
      <c r="N94" s="182"/>
      <c r="O94" s="182"/>
      <c r="P94" s="182"/>
      <c r="Q94" s="182"/>
    </row>
    <row r="95" spans="1:19">
      <c r="A95" s="182"/>
      <c r="B95" s="201" t="s">
        <v>71</v>
      </c>
      <c r="C95" s="197">
        <f t="shared" si="25"/>
        <v>0</v>
      </c>
      <c r="D95" s="197">
        <f t="shared" si="31"/>
        <v>0</v>
      </c>
      <c r="F95" s="201"/>
      <c r="G95" s="197">
        <f t="shared" si="26"/>
        <v>0</v>
      </c>
      <c r="H95" s="197">
        <f t="shared" si="27"/>
        <v>0</v>
      </c>
      <c r="I95" s="197">
        <f t="shared" si="28"/>
        <v>0</v>
      </c>
      <c r="J95" s="197">
        <f t="shared" si="29"/>
        <v>0</v>
      </c>
      <c r="K95" s="182"/>
      <c r="L95" s="182"/>
      <c r="M95" s="182"/>
      <c r="N95" s="182"/>
      <c r="O95" s="182"/>
      <c r="P95" s="182"/>
      <c r="Q95" s="182"/>
    </row>
    <row r="96" spans="1:19">
      <c r="A96" s="182"/>
      <c r="B96" s="201" t="s">
        <v>11</v>
      </c>
      <c r="C96" s="197">
        <f t="shared" si="25"/>
        <v>0</v>
      </c>
      <c r="D96" s="197">
        <f t="shared" si="31"/>
        <v>0</v>
      </c>
      <c r="F96" s="201"/>
      <c r="G96" s="203">
        <f t="shared" si="26"/>
        <v>0</v>
      </c>
      <c r="H96" s="203">
        <f t="shared" si="27"/>
        <v>0</v>
      </c>
      <c r="I96" s="203">
        <f t="shared" si="28"/>
        <v>0</v>
      </c>
      <c r="J96" s="203">
        <f t="shared" si="29"/>
        <v>0</v>
      </c>
      <c r="K96" s="182"/>
      <c r="L96" s="182"/>
      <c r="M96" s="182"/>
      <c r="N96" s="182"/>
      <c r="O96" s="182"/>
      <c r="P96" s="182"/>
      <c r="Q96" s="182"/>
    </row>
    <row r="97" spans="1:17">
      <c r="A97" s="182"/>
      <c r="B97" s="201" t="s">
        <v>256</v>
      </c>
      <c r="C97" s="197">
        <f>Q88-Q89</f>
        <v>0</v>
      </c>
      <c r="D97" s="182"/>
      <c r="F97" s="205" t="s">
        <v>3</v>
      </c>
      <c r="G97" s="197">
        <f>SUM(G88:G96)</f>
        <v>0</v>
      </c>
      <c r="H97" s="197">
        <f>SUM(H88:H96)</f>
        <v>0</v>
      </c>
      <c r="I97" s="197">
        <f>SUM(I88:I96)</f>
        <v>0</v>
      </c>
      <c r="J97" s="197">
        <f>SUM(J88:J96)</f>
        <v>0</v>
      </c>
      <c r="K97" s="182"/>
      <c r="L97" s="182"/>
      <c r="M97" s="182"/>
      <c r="N97" s="182"/>
      <c r="O97" s="182"/>
      <c r="P97" s="182"/>
      <c r="Q97" s="182"/>
    </row>
    <row r="98" spans="1:17">
      <c r="A98" s="182"/>
      <c r="B98" s="201" t="s">
        <v>224</v>
      </c>
      <c r="C98" s="197">
        <f>R88-R89</f>
        <v>0</v>
      </c>
      <c r="D98" s="182"/>
      <c r="E98" s="209"/>
      <c r="F98" s="210"/>
      <c r="G98" s="210"/>
      <c r="H98" s="210"/>
      <c r="I98" s="210"/>
      <c r="J98" s="182"/>
      <c r="K98" s="182"/>
      <c r="L98" s="182"/>
      <c r="M98" s="182"/>
      <c r="N98" s="182"/>
      <c r="O98" s="182"/>
      <c r="P98" s="182"/>
      <c r="Q98" s="182"/>
    </row>
    <row r="99" spans="1:17">
      <c r="A99" s="182"/>
      <c r="B99" s="209" t="s">
        <v>3</v>
      </c>
      <c r="C99" s="211">
        <f>SUM(C88:C98)</f>
        <v>0</v>
      </c>
      <c r="D99" s="182"/>
      <c r="E99" s="182"/>
      <c r="F99" s="182"/>
      <c r="G99" s="182"/>
      <c r="H99" s="182"/>
      <c r="I99" s="182"/>
      <c r="J99" s="182"/>
      <c r="K99" s="182"/>
      <c r="L99" s="182"/>
      <c r="M99" s="182"/>
      <c r="N99" s="182"/>
      <c r="O99" s="182"/>
      <c r="P99" s="182"/>
      <c r="Q99" s="182"/>
    </row>
    <row r="100" spans="1:17">
      <c r="A100" s="182"/>
      <c r="B100" s="182"/>
      <c r="C100" s="182"/>
      <c r="D100" s="182"/>
      <c r="E100" s="182"/>
      <c r="F100" s="182"/>
      <c r="G100" s="182"/>
      <c r="H100" s="182"/>
      <c r="I100" s="182"/>
      <c r="J100" s="182"/>
      <c r="K100" s="182"/>
      <c r="L100" s="182"/>
      <c r="M100" s="182"/>
      <c r="N100" s="182"/>
      <c r="O100" s="182"/>
      <c r="P100" s="182"/>
      <c r="Q100" s="182"/>
    </row>
    <row r="101" spans="1:17">
      <c r="A101" s="182"/>
      <c r="B101" s="182"/>
      <c r="C101" s="182"/>
      <c r="D101" s="182"/>
      <c r="E101" s="182"/>
      <c r="F101" s="182"/>
      <c r="G101" s="182"/>
      <c r="H101" s="182"/>
      <c r="I101" s="182"/>
      <c r="J101" s="182"/>
      <c r="K101" s="182"/>
      <c r="L101" s="182"/>
      <c r="M101" s="182"/>
      <c r="N101" s="182"/>
      <c r="O101" s="182"/>
      <c r="P101" s="182"/>
      <c r="Q101" s="182"/>
    </row>
    <row r="102" spans="1:17">
      <c r="A102" s="182"/>
      <c r="B102" s="182"/>
      <c r="C102" s="182"/>
      <c r="D102" s="182"/>
      <c r="E102" s="182"/>
      <c r="F102" s="182"/>
      <c r="G102" s="182"/>
      <c r="H102" s="182"/>
      <c r="I102" s="182"/>
      <c r="J102" s="182"/>
      <c r="K102" s="182"/>
      <c r="L102" s="182"/>
      <c r="M102" s="182"/>
      <c r="N102" s="182"/>
      <c r="O102" s="182"/>
      <c r="P102" s="182"/>
      <c r="Q102" s="182"/>
    </row>
    <row r="103" spans="1:17">
      <c r="A103" s="182"/>
      <c r="B103" s="182"/>
      <c r="C103" s="182"/>
      <c r="D103" s="182"/>
      <c r="E103" s="182"/>
      <c r="F103" s="182"/>
      <c r="G103" s="182"/>
      <c r="H103" s="182"/>
      <c r="I103" s="182"/>
      <c r="J103" s="182"/>
      <c r="K103" s="182"/>
      <c r="L103" s="182"/>
      <c r="M103" s="182"/>
      <c r="N103" s="182"/>
      <c r="O103" s="182"/>
      <c r="P103" s="182"/>
      <c r="Q103" s="182"/>
    </row>
    <row r="104" spans="1:17">
      <c r="A104" s="182"/>
      <c r="B104" s="182"/>
      <c r="C104" s="182"/>
      <c r="D104" s="182"/>
      <c r="E104" s="182"/>
      <c r="F104" s="182"/>
      <c r="G104" s="182"/>
      <c r="H104" s="182"/>
      <c r="I104" s="182"/>
      <c r="J104" s="182"/>
      <c r="K104" s="182"/>
      <c r="L104" s="182"/>
      <c r="M104" s="182"/>
      <c r="N104" s="182"/>
      <c r="O104" s="182"/>
      <c r="P104" s="182"/>
      <c r="Q104" s="182"/>
    </row>
    <row r="105" spans="1:17">
      <c r="A105" s="182"/>
      <c r="B105" s="182"/>
      <c r="C105" s="182"/>
      <c r="D105" s="182"/>
      <c r="E105" s="182"/>
      <c r="F105" s="182"/>
      <c r="G105" s="182"/>
      <c r="H105" s="182"/>
      <c r="I105" s="182"/>
      <c r="J105" s="182"/>
      <c r="K105" s="182"/>
      <c r="L105" s="182"/>
      <c r="M105" s="182"/>
      <c r="N105" s="182"/>
      <c r="O105" s="182"/>
      <c r="P105" s="182"/>
      <c r="Q105" s="182"/>
    </row>
    <row r="106" spans="1:17">
      <c r="A106" s="182"/>
      <c r="B106" s="182"/>
      <c r="C106" s="182"/>
      <c r="D106" s="182"/>
      <c r="E106" s="182"/>
      <c r="F106" s="182"/>
      <c r="G106" s="182"/>
      <c r="H106" s="182"/>
      <c r="I106" s="182"/>
      <c r="J106" s="182"/>
      <c r="K106" s="182"/>
      <c r="L106" s="182"/>
      <c r="M106" s="182"/>
      <c r="N106" s="182"/>
      <c r="O106" s="182"/>
      <c r="P106" s="182"/>
      <c r="Q106" s="182"/>
    </row>
    <row r="107" spans="1:17">
      <c r="A107" s="182"/>
      <c r="B107" s="182"/>
      <c r="C107" s="182"/>
      <c r="D107" s="182"/>
      <c r="E107" s="182"/>
      <c r="F107" s="182"/>
      <c r="G107" s="182"/>
      <c r="H107" s="182"/>
      <c r="I107" s="182"/>
      <c r="J107" s="182"/>
      <c r="K107" s="182"/>
      <c r="L107" s="182"/>
      <c r="M107" s="182"/>
      <c r="N107" s="182"/>
      <c r="O107" s="182"/>
      <c r="P107" s="182"/>
      <c r="Q107" s="182"/>
    </row>
    <row r="108" spans="1:17">
      <c r="A108" s="182"/>
      <c r="B108" s="182"/>
      <c r="C108" s="182"/>
      <c r="D108" s="182"/>
      <c r="E108" s="182"/>
      <c r="F108" s="182"/>
      <c r="G108" s="182"/>
      <c r="H108" s="182"/>
      <c r="I108" s="182"/>
      <c r="J108" s="182"/>
      <c r="K108" s="182"/>
      <c r="L108" s="182"/>
      <c r="M108" s="182"/>
      <c r="N108" s="182"/>
      <c r="O108" s="182"/>
      <c r="P108" s="182"/>
      <c r="Q108" s="182"/>
    </row>
    <row r="109" spans="1:17">
      <c r="A109" s="182"/>
      <c r="B109" s="182"/>
      <c r="C109" s="182"/>
      <c r="D109" s="182"/>
      <c r="K109" s="182"/>
      <c r="L109" s="182"/>
      <c r="M109" s="182"/>
      <c r="N109" s="182"/>
      <c r="O109" s="182"/>
      <c r="P109" s="182"/>
      <c r="Q109" s="182"/>
    </row>
    <row r="110" spans="1:17">
      <c r="A110" s="182"/>
      <c r="B110" s="182"/>
      <c r="C110" s="182"/>
      <c r="D110" s="182"/>
      <c r="K110" s="182"/>
    </row>
    <row r="111" spans="1:17" ht="15">
      <c r="A111" s="182"/>
      <c r="B111" s="505" t="s">
        <v>198</v>
      </c>
      <c r="C111" s="505"/>
      <c r="D111" s="182"/>
      <c r="E111" s="506" t="s">
        <v>338</v>
      </c>
      <c r="F111" s="506"/>
      <c r="G111" s="506"/>
      <c r="H111" s="506"/>
      <c r="J111" s="506" t="s">
        <v>328</v>
      </c>
      <c r="K111" s="506"/>
      <c r="L111" s="506"/>
      <c r="M111" s="506"/>
      <c r="N111" s="505" t="s">
        <v>327</v>
      </c>
      <c r="O111" s="505"/>
    </row>
    <row r="112" spans="1:17" ht="38.450000000000003" customHeight="1">
      <c r="A112" s="182"/>
      <c r="B112" s="186"/>
      <c r="C112" s="212" t="s">
        <v>289</v>
      </c>
      <c r="D112" s="182"/>
      <c r="E112" s="512" t="s">
        <v>329</v>
      </c>
      <c r="F112" s="512"/>
      <c r="G112" s="194">
        <v>0.61050000000000004</v>
      </c>
      <c r="H112" s="189" t="s">
        <v>334</v>
      </c>
      <c r="J112" s="189"/>
      <c r="K112" s="189"/>
      <c r="L112" s="511" t="s">
        <v>341</v>
      </c>
      <c r="M112" s="511"/>
      <c r="N112" s="186"/>
      <c r="O112" s="186"/>
    </row>
    <row r="113" spans="1:17" ht="38.25">
      <c r="A113" s="182"/>
      <c r="B113" s="213" t="s">
        <v>214</v>
      </c>
      <c r="C113" s="186">
        <f>15*4</f>
        <v>60</v>
      </c>
      <c r="D113" s="182"/>
      <c r="E113" s="510" t="s">
        <v>330</v>
      </c>
      <c r="F113" s="510"/>
      <c r="G113" s="194">
        <v>5.4800000000000001E-2</v>
      </c>
      <c r="H113" s="189" t="s">
        <v>335</v>
      </c>
      <c r="J113" s="189"/>
      <c r="K113" s="496" t="s">
        <v>342</v>
      </c>
      <c r="L113" s="495" t="s">
        <v>325</v>
      </c>
      <c r="M113" s="495" t="s">
        <v>340</v>
      </c>
      <c r="N113" s="186" t="s">
        <v>325</v>
      </c>
      <c r="O113" s="186" t="s">
        <v>340</v>
      </c>
    </row>
    <row r="114" spans="1:17" ht="25.5">
      <c r="A114" s="182"/>
      <c r="B114" s="213" t="s">
        <v>169</v>
      </c>
      <c r="C114" s="186">
        <f>150*2</f>
        <v>300</v>
      </c>
      <c r="D114" s="182"/>
      <c r="E114" s="189" t="s">
        <v>331</v>
      </c>
      <c r="F114" s="189"/>
      <c r="G114" s="194">
        <v>0.21079999999999999</v>
      </c>
      <c r="H114" s="189" t="s">
        <v>335</v>
      </c>
      <c r="J114" s="189" t="s">
        <v>7</v>
      </c>
      <c r="K114" s="492">
        <f>'Scenario''s'!D12</f>
        <v>0.13320000000000001</v>
      </c>
      <c r="L114" s="194">
        <v>0.35</v>
      </c>
      <c r="M114" s="194">
        <v>0.65</v>
      </c>
      <c r="N114" s="493">
        <f>K114*L114</f>
        <v>4.6620000000000002E-2</v>
      </c>
      <c r="O114" s="493">
        <f>K114*M114</f>
        <v>8.6580000000000018E-2</v>
      </c>
    </row>
    <row r="115" spans="1:17">
      <c r="A115" s="182"/>
      <c r="B115" s="182"/>
      <c r="C115" s="182"/>
      <c r="D115" s="182"/>
      <c r="E115" s="189" t="s">
        <v>332</v>
      </c>
      <c r="F115" s="189"/>
      <c r="G115" s="194">
        <v>3.3099999999999997E-2</v>
      </c>
      <c r="H115" s="189" t="s">
        <v>335</v>
      </c>
      <c r="J115" s="189" t="s">
        <v>63</v>
      </c>
      <c r="K115" s="492">
        <f>'Scenario''s'!D13</f>
        <v>0.1895</v>
      </c>
      <c r="L115" s="194">
        <v>0.7</v>
      </c>
      <c r="M115" s="194">
        <v>0.3</v>
      </c>
      <c r="N115" s="493">
        <f t="shared" ref="N115:N122" si="32">K115*L115</f>
        <v>0.13264999999999999</v>
      </c>
      <c r="O115" s="493">
        <f t="shared" ref="O115:O122" si="33">K115*M115</f>
        <v>5.6849999999999998E-2</v>
      </c>
    </row>
    <row r="116" spans="1:17">
      <c r="A116" s="182"/>
      <c r="B116" s="182"/>
      <c r="C116" s="182"/>
      <c r="D116" s="182"/>
      <c r="E116" s="189" t="s">
        <v>333</v>
      </c>
      <c r="F116" s="189"/>
      <c r="G116" s="194">
        <v>8.72E-2</v>
      </c>
      <c r="H116" s="189" t="s">
        <v>335</v>
      </c>
      <c r="J116" s="189" t="s">
        <v>9</v>
      </c>
      <c r="K116" s="492">
        <f>'Scenario''s'!D14</f>
        <v>0.28129999999999999</v>
      </c>
      <c r="L116" s="194">
        <v>0.4</v>
      </c>
      <c r="M116" s="194">
        <v>0.6</v>
      </c>
      <c r="N116" s="493">
        <f t="shared" si="32"/>
        <v>0.11252000000000001</v>
      </c>
      <c r="O116" s="493">
        <f t="shared" si="33"/>
        <v>0.16877999999999999</v>
      </c>
    </row>
    <row r="117" spans="1:17">
      <c r="A117" s="182"/>
      <c r="B117" s="182"/>
      <c r="C117" s="182"/>
      <c r="D117" s="182"/>
      <c r="E117" s="189"/>
      <c r="F117" s="189"/>
      <c r="G117" s="189"/>
      <c r="H117" s="189"/>
      <c r="J117" s="189" t="s">
        <v>208</v>
      </c>
      <c r="K117" s="492">
        <f>'Scenario''s'!D15</f>
        <v>8.6800000000000002E-2</v>
      </c>
      <c r="L117" s="194">
        <v>0.6</v>
      </c>
      <c r="M117" s="194">
        <v>0.4</v>
      </c>
      <c r="N117" s="493">
        <f t="shared" si="32"/>
        <v>5.2080000000000001E-2</v>
      </c>
      <c r="O117" s="493">
        <f t="shared" si="33"/>
        <v>3.4720000000000001E-2</v>
      </c>
    </row>
    <row r="118" spans="1:17">
      <c r="A118" s="182"/>
      <c r="D118" s="209"/>
      <c r="E118" s="189" t="s">
        <v>336</v>
      </c>
      <c r="F118" s="189" t="s">
        <v>337</v>
      </c>
      <c r="G118" s="189"/>
      <c r="H118" s="189"/>
      <c r="J118" s="189" t="s">
        <v>10</v>
      </c>
      <c r="K118" s="492">
        <f>'Scenario''s'!D16</f>
        <v>7.0000000000000001E-3</v>
      </c>
      <c r="L118" s="194">
        <v>0.8</v>
      </c>
      <c r="M118" s="194">
        <v>0.2</v>
      </c>
      <c r="N118" s="493">
        <f t="shared" si="32"/>
        <v>5.6000000000000008E-3</v>
      </c>
      <c r="O118" s="493">
        <f t="shared" si="33"/>
        <v>1.4000000000000002E-3</v>
      </c>
    </row>
    <row r="119" spans="1:17">
      <c r="A119" s="182"/>
      <c r="D119" s="485"/>
      <c r="E119" s="492">
        <f>G112</f>
        <v>0.61050000000000004</v>
      </c>
      <c r="F119" s="492">
        <f>SUM(G113:G116)</f>
        <v>0.38590000000000002</v>
      </c>
      <c r="G119" s="189"/>
      <c r="H119" s="189"/>
      <c r="J119" s="189" t="s">
        <v>70</v>
      </c>
      <c r="K119" s="492">
        <f>'Scenario''s'!D17</f>
        <v>6.6299999999999998E-2</v>
      </c>
      <c r="L119" s="194">
        <v>0.9</v>
      </c>
      <c r="M119" s="194">
        <v>0.1</v>
      </c>
      <c r="N119" s="493">
        <f t="shared" si="32"/>
        <v>5.9670000000000001E-2</v>
      </c>
      <c r="O119" s="493">
        <f t="shared" si="33"/>
        <v>6.6300000000000005E-3</v>
      </c>
    </row>
    <row r="120" spans="1:17">
      <c r="A120" s="182"/>
      <c r="D120" s="486"/>
      <c r="J120" s="189" t="s">
        <v>8</v>
      </c>
      <c r="K120" s="492">
        <f>'Scenario''s'!D18</f>
        <v>2.8899999999999999E-2</v>
      </c>
      <c r="L120" s="194">
        <v>0.9</v>
      </c>
      <c r="M120" s="194">
        <v>0.1</v>
      </c>
      <c r="N120" s="493">
        <f t="shared" si="32"/>
        <v>2.6009999999999998E-2</v>
      </c>
      <c r="O120" s="493">
        <f t="shared" si="33"/>
        <v>2.8900000000000002E-3</v>
      </c>
    </row>
    <row r="121" spans="1:17">
      <c r="A121" s="182"/>
      <c r="D121" s="486"/>
      <c r="J121" s="189" t="s">
        <v>71</v>
      </c>
      <c r="K121" s="492">
        <f>'Scenario''s'!D19</f>
        <v>0.13900000000000001</v>
      </c>
      <c r="L121" s="194">
        <v>0.9</v>
      </c>
      <c r="M121" s="194">
        <v>0.1</v>
      </c>
      <c r="N121" s="493">
        <f t="shared" si="32"/>
        <v>0.12510000000000002</v>
      </c>
      <c r="O121" s="493">
        <f t="shared" si="33"/>
        <v>1.3900000000000003E-2</v>
      </c>
    </row>
    <row r="122" spans="1:17">
      <c r="A122" s="182"/>
      <c r="B122" s="487"/>
      <c r="C122" s="182"/>
      <c r="D122" s="486"/>
      <c r="J122" s="189" t="s">
        <v>11</v>
      </c>
      <c r="K122" s="492">
        <f>'Scenario''s'!D20</f>
        <v>6.8000000000000005E-2</v>
      </c>
      <c r="L122" s="207">
        <v>0.7</v>
      </c>
      <c r="M122" s="207">
        <v>0.3</v>
      </c>
      <c r="N122" s="493">
        <f t="shared" si="32"/>
        <v>4.7600000000000003E-2</v>
      </c>
      <c r="O122" s="493">
        <f t="shared" si="33"/>
        <v>2.0400000000000001E-2</v>
      </c>
    </row>
    <row r="123" spans="1:17">
      <c r="A123" s="182"/>
      <c r="B123" s="487"/>
      <c r="C123" s="182"/>
      <c r="D123" s="486"/>
      <c r="E123" s="182"/>
      <c r="F123" s="182"/>
      <c r="G123" s="216"/>
      <c r="H123" s="182"/>
      <c r="I123" s="491"/>
      <c r="J123" s="182"/>
      <c r="K123" s="182"/>
      <c r="L123" s="216"/>
      <c r="M123" s="186" t="s">
        <v>3</v>
      </c>
      <c r="N123" s="493">
        <f>SUM(N114:N122)</f>
        <v>0.60785</v>
      </c>
      <c r="O123" s="493">
        <f>SUM(O114:O122)</f>
        <v>0.39215</v>
      </c>
      <c r="P123" s="182"/>
      <c r="Q123" s="182"/>
    </row>
    <row r="124" spans="1:17">
      <c r="A124" s="182"/>
      <c r="B124" s="487"/>
      <c r="C124" s="182"/>
      <c r="D124" s="486"/>
      <c r="E124" s="486"/>
      <c r="F124" s="182"/>
      <c r="G124" s="182"/>
      <c r="H124" s="182"/>
      <c r="I124" s="182"/>
      <c r="J124" s="182"/>
      <c r="K124" s="182"/>
      <c r="L124" s="182"/>
      <c r="M124" s="182"/>
      <c r="N124" s="182"/>
      <c r="O124" s="182"/>
      <c r="P124" s="182"/>
      <c r="Q124" s="182"/>
    </row>
    <row r="125" spans="1:17">
      <c r="A125" s="182"/>
      <c r="B125" s="506" t="s">
        <v>197</v>
      </c>
      <c r="C125" s="506"/>
      <c r="D125" s="506"/>
      <c r="E125" s="506"/>
      <c r="F125" s="506"/>
      <c r="G125" s="505" t="s">
        <v>198</v>
      </c>
      <c r="H125" s="505"/>
      <c r="I125" s="182"/>
      <c r="J125" s="182"/>
      <c r="K125" s="182"/>
      <c r="L125" s="182"/>
      <c r="M125" s="182"/>
      <c r="N125" s="182"/>
      <c r="O125" s="182"/>
      <c r="P125" s="182"/>
      <c r="Q125" s="182"/>
    </row>
    <row r="126" spans="1:17" ht="15">
      <c r="A126" s="182"/>
      <c r="B126" s="189"/>
      <c r="C126" s="509" t="s">
        <v>321</v>
      </c>
      <c r="D126" s="509"/>
      <c r="E126" s="509" t="s">
        <v>326</v>
      </c>
      <c r="F126" s="509"/>
      <c r="G126" s="482"/>
      <c r="H126" s="482"/>
      <c r="L126" s="182"/>
      <c r="M126" s="182"/>
      <c r="N126" s="182"/>
      <c r="O126" s="182"/>
      <c r="P126" s="182"/>
      <c r="Q126" s="182"/>
    </row>
    <row r="127" spans="1:17" ht="38.25">
      <c r="A127" s="182"/>
      <c r="B127" s="189"/>
      <c r="C127" s="494" t="s">
        <v>324</v>
      </c>
      <c r="D127" s="495" t="s">
        <v>339</v>
      </c>
      <c r="E127" s="495" t="s">
        <v>325</v>
      </c>
      <c r="F127" s="495" t="s">
        <v>340</v>
      </c>
      <c r="G127" s="483" t="s">
        <v>322</v>
      </c>
      <c r="H127" s="483" t="s">
        <v>323</v>
      </c>
      <c r="J127" s="484"/>
      <c r="K127" s="484"/>
      <c r="L127" s="182"/>
      <c r="M127" s="182"/>
      <c r="N127" s="182"/>
      <c r="O127" s="182"/>
      <c r="P127" s="182"/>
      <c r="Q127" s="182"/>
    </row>
    <row r="128" spans="1:17">
      <c r="A128" s="182"/>
      <c r="B128" s="189" t="s">
        <v>7</v>
      </c>
      <c r="C128" s="194">
        <v>0.2</v>
      </c>
      <c r="D128" s="194">
        <v>0.8</v>
      </c>
      <c r="E128" s="194">
        <f t="shared" ref="E128:E136" si="34">L114</f>
        <v>0.35</v>
      </c>
      <c r="F128" s="194">
        <f t="shared" ref="F128:F136" si="35">M114</f>
        <v>0.65</v>
      </c>
      <c r="G128" s="196">
        <f>(('Impactdata ecoras'!$B$78*Rekensheet!C128)/32.5+('Impactdata ecoras'!$B$79*Rekensheet!D128)/1000)*$C$114</f>
        <v>0.71827838196923077</v>
      </c>
      <c r="H128" s="196">
        <f>(('Impactdata ecoras'!$B$78*Rekensheet!E128)/32.5+('Impactdata ecoras'!$B$79*Rekensheet!F128)/1000)*$C$113</f>
        <v>0.24450806283923077</v>
      </c>
      <c r="J128" s="183"/>
      <c r="K128" s="183"/>
      <c r="L128" s="182"/>
      <c r="M128" s="182"/>
      <c r="N128" s="182"/>
      <c r="O128" s="182"/>
      <c r="P128" s="182"/>
      <c r="Q128" s="182"/>
    </row>
    <row r="129" spans="1:17">
      <c r="A129" s="182"/>
      <c r="B129" s="189" t="s">
        <v>63</v>
      </c>
      <c r="C129" s="194">
        <v>0.5</v>
      </c>
      <c r="D129" s="194">
        <v>0.5</v>
      </c>
      <c r="E129" s="194">
        <f t="shared" si="34"/>
        <v>0.7</v>
      </c>
      <c r="F129" s="194">
        <f t="shared" si="35"/>
        <v>0.3</v>
      </c>
      <c r="G129" s="196">
        <f>(('Impactdata ecoras'!$B$78*Rekensheet!C129)/32.5+('Impactdata ecoras'!$B$79*Rekensheet!D129)/1000)*$C$114</f>
        <v>1.726802246423077</v>
      </c>
      <c r="H129" s="196">
        <f>(('Impactdata ecoras'!$B$78*Rekensheet!E129)/32.5+('Impactdata ecoras'!$B$79*Rekensheet!F129)/1000)*$C$113</f>
        <v>0.47983029787846154</v>
      </c>
      <c r="J129" s="183"/>
      <c r="K129" s="183"/>
      <c r="L129" s="182"/>
      <c r="M129" s="182"/>
      <c r="N129" s="182"/>
      <c r="O129" s="182"/>
      <c r="P129" s="182"/>
      <c r="Q129" s="182"/>
    </row>
    <row r="130" spans="1:17">
      <c r="A130" s="182"/>
      <c r="B130" s="189" t="s">
        <v>9</v>
      </c>
      <c r="C130" s="194">
        <v>0.95</v>
      </c>
      <c r="D130" s="194">
        <v>0.05</v>
      </c>
      <c r="E130" s="194">
        <f t="shared" si="34"/>
        <v>0.4</v>
      </c>
      <c r="F130" s="194">
        <f t="shared" si="35"/>
        <v>0.6</v>
      </c>
      <c r="G130" s="196">
        <f>(('Impactdata ecoras'!$B$78*Rekensheet!C130)/32.5+('Impactdata ecoras'!$B$79*Rekensheet!D130)/1000)*$C$114</f>
        <v>3.2395880431038462</v>
      </c>
      <c r="H130" s="196">
        <f>(('Impactdata ecoras'!$B$78*Rekensheet!E130)/32.5+('Impactdata ecoras'!$B$79*Rekensheet!F130)/1000)*$C$113</f>
        <v>0.27812552498769227</v>
      </c>
      <c r="J130" s="183"/>
      <c r="K130" s="183"/>
      <c r="L130" s="182"/>
      <c r="M130" s="182"/>
      <c r="N130" s="182"/>
      <c r="O130" s="182"/>
      <c r="P130" s="182"/>
      <c r="Q130" s="182"/>
    </row>
    <row r="131" spans="1:17">
      <c r="A131" s="182"/>
      <c r="B131" s="189" t="s">
        <v>208</v>
      </c>
      <c r="C131" s="194">
        <v>0.5</v>
      </c>
      <c r="D131" s="194">
        <v>0.5</v>
      </c>
      <c r="E131" s="194">
        <f t="shared" si="34"/>
        <v>0.6</v>
      </c>
      <c r="F131" s="194">
        <f t="shared" si="35"/>
        <v>0.4</v>
      </c>
      <c r="G131" s="196">
        <f>(('Impactdata ecoras'!$B$78*Rekensheet!C131)/32.5+('Impactdata ecoras'!$B$79*Rekensheet!D131)/1000)*$C$114</f>
        <v>1.726802246423077</v>
      </c>
      <c r="H131" s="196">
        <f>(('Impactdata ecoras'!$B$78*Rekensheet!E131)/32.5+('Impactdata ecoras'!$B$79*Rekensheet!F131)/1000)*$C$113</f>
        <v>0.41259537358153847</v>
      </c>
      <c r="J131" s="183"/>
      <c r="K131" s="183"/>
      <c r="L131" s="182"/>
      <c r="M131" s="182"/>
      <c r="N131" s="182"/>
      <c r="O131" s="182"/>
      <c r="P131" s="182"/>
      <c r="Q131" s="182"/>
    </row>
    <row r="132" spans="1:17">
      <c r="A132" s="182"/>
      <c r="B132" s="189" t="s">
        <v>10</v>
      </c>
      <c r="C132" s="194">
        <v>0.95</v>
      </c>
      <c r="D132" s="194">
        <v>0.05</v>
      </c>
      <c r="E132" s="194">
        <f t="shared" si="34"/>
        <v>0.8</v>
      </c>
      <c r="F132" s="194">
        <f t="shared" si="35"/>
        <v>0.2</v>
      </c>
      <c r="G132" s="196">
        <f>(('Impactdata ecoras'!$B$78*Rekensheet!C132)/32.5+('Impactdata ecoras'!$B$79*Rekensheet!D132)/1000)*$C$114</f>
        <v>3.2395880431038462</v>
      </c>
      <c r="H132" s="196">
        <f>(('Impactdata ecoras'!$B$78*Rekensheet!E132)/32.5+('Impactdata ecoras'!$B$79*Rekensheet!F132)/1000)*$C$113</f>
        <v>0.54706522217538456</v>
      </c>
      <c r="J132" s="183"/>
      <c r="K132" s="183"/>
      <c r="L132" s="182"/>
      <c r="M132" s="182"/>
      <c r="N132" s="182"/>
      <c r="O132" s="182"/>
      <c r="P132" s="182"/>
      <c r="Q132" s="182"/>
    </row>
    <row r="133" spans="1:17">
      <c r="A133" s="182"/>
      <c r="B133" s="189" t="s">
        <v>70</v>
      </c>
      <c r="C133" s="194">
        <v>0.5</v>
      </c>
      <c r="D133" s="194">
        <v>0.5</v>
      </c>
      <c r="E133" s="194">
        <f t="shared" si="34"/>
        <v>0.9</v>
      </c>
      <c r="F133" s="194">
        <f t="shared" si="35"/>
        <v>0.1</v>
      </c>
      <c r="G133" s="196">
        <f>(('Impactdata ecoras'!$B$78*Rekensheet!C133)/32.5+('Impactdata ecoras'!$B$79*Rekensheet!D133)/1000)*$C$114</f>
        <v>1.726802246423077</v>
      </c>
      <c r="H133" s="196">
        <f>(('Impactdata ecoras'!$B$78*Rekensheet!E133)/32.5+('Impactdata ecoras'!$B$79*Rekensheet!F133)/1000)*$C$113</f>
        <v>0.61430014647230768</v>
      </c>
      <c r="J133" s="183"/>
      <c r="K133" s="183"/>
      <c r="L133" s="182"/>
      <c r="M133" s="182"/>
      <c r="N133" s="182"/>
      <c r="O133" s="182"/>
      <c r="P133" s="182"/>
      <c r="Q133" s="182"/>
    </row>
    <row r="134" spans="1:17">
      <c r="A134" s="182"/>
      <c r="B134" s="189" t="s">
        <v>8</v>
      </c>
      <c r="C134" s="194">
        <v>0.5</v>
      </c>
      <c r="D134" s="194">
        <v>0.5</v>
      </c>
      <c r="E134" s="194">
        <f t="shared" si="34"/>
        <v>0.9</v>
      </c>
      <c r="F134" s="194">
        <f t="shared" si="35"/>
        <v>0.1</v>
      </c>
      <c r="G134" s="196">
        <f>(('Impactdata ecoras'!$B$78*Rekensheet!C134)/32.5+('Impactdata ecoras'!$B$79*Rekensheet!D134)/1000)*$C$114</f>
        <v>1.726802246423077</v>
      </c>
      <c r="H134" s="196">
        <f>(('Impactdata ecoras'!$B$78*Rekensheet!E134)/32.5+('Impactdata ecoras'!$B$79*Rekensheet!F134)/1000)*$C$113</f>
        <v>0.61430014647230768</v>
      </c>
      <c r="J134" s="183"/>
      <c r="K134" s="183"/>
      <c r="L134" s="182"/>
      <c r="M134" s="182"/>
      <c r="N134" s="182"/>
      <c r="O134" s="182"/>
      <c r="P134" s="182"/>
      <c r="Q134" s="182"/>
    </row>
    <row r="135" spans="1:17">
      <c r="A135" s="182"/>
      <c r="B135" s="189" t="s">
        <v>71</v>
      </c>
      <c r="C135" s="194">
        <v>0.5</v>
      </c>
      <c r="D135" s="194">
        <v>0.5</v>
      </c>
      <c r="E135" s="194">
        <f t="shared" si="34"/>
        <v>0.9</v>
      </c>
      <c r="F135" s="194">
        <f t="shared" si="35"/>
        <v>0.1</v>
      </c>
      <c r="G135" s="196">
        <f>(('Impactdata ecoras'!$B$78*Rekensheet!C135)/32.5+('Impactdata ecoras'!$B$79*Rekensheet!D135)/1000)*$C$114</f>
        <v>1.726802246423077</v>
      </c>
      <c r="H135" s="196">
        <f>(('Impactdata ecoras'!$B$78*Rekensheet!E135)/32.5+('Impactdata ecoras'!$B$79*Rekensheet!F135)/1000)*$C$113</f>
        <v>0.61430014647230768</v>
      </c>
      <c r="J135" s="183"/>
      <c r="K135" s="183"/>
      <c r="L135" s="182"/>
      <c r="M135" s="182"/>
      <c r="N135" s="182"/>
      <c r="O135" s="182"/>
      <c r="P135" s="182"/>
      <c r="Q135" s="182"/>
    </row>
    <row r="136" spans="1:17">
      <c r="A136" s="182"/>
      <c r="B136" s="189" t="s">
        <v>11</v>
      </c>
      <c r="C136" s="194">
        <v>0.5</v>
      </c>
      <c r="D136" s="194">
        <v>0.5</v>
      </c>
      <c r="E136" s="194">
        <f t="shared" si="34"/>
        <v>0.7</v>
      </c>
      <c r="F136" s="194">
        <f t="shared" si="35"/>
        <v>0.3</v>
      </c>
      <c r="G136" s="196">
        <f>(('Impactdata ecoras'!$B$78*Rekensheet!C136)/32.5+('Impactdata ecoras'!$B$79*Rekensheet!D136)/1000)*$C$114</f>
        <v>1.726802246423077</v>
      </c>
      <c r="H136" s="196">
        <f>(('Impactdata ecoras'!$B$78*Rekensheet!E136)/32.5+('Impactdata ecoras'!$B$79*Rekensheet!F136)/1000)*$C$113</f>
        <v>0.47983029787846154</v>
      </c>
      <c r="J136" s="183"/>
      <c r="K136" s="183"/>
      <c r="L136" s="182"/>
      <c r="M136" s="182"/>
      <c r="N136" s="182"/>
      <c r="O136" s="182"/>
      <c r="P136" s="182"/>
      <c r="Q136" s="182"/>
    </row>
    <row r="137" spans="1:17">
      <c r="A137" s="182"/>
      <c r="B137" s="182"/>
      <c r="C137" s="182"/>
      <c r="D137" s="182"/>
      <c r="E137" s="198"/>
      <c r="F137" s="182"/>
      <c r="G137" s="182"/>
      <c r="I137" s="182"/>
      <c r="J137" s="182"/>
      <c r="K137" s="182"/>
      <c r="L137" s="182"/>
      <c r="M137" s="182"/>
      <c r="N137" s="182"/>
      <c r="O137" s="182"/>
      <c r="P137" s="182"/>
      <c r="Q137" s="182"/>
    </row>
    <row r="138" spans="1:17">
      <c r="A138" s="182"/>
      <c r="B138" s="182"/>
      <c r="C138" s="182"/>
      <c r="D138" s="182"/>
      <c r="E138" s="182"/>
      <c r="F138" s="182"/>
      <c r="G138" s="182"/>
      <c r="H138" s="182"/>
      <c r="I138" s="182"/>
      <c r="J138" s="182"/>
      <c r="K138" s="182"/>
      <c r="L138" s="182"/>
      <c r="M138" s="182"/>
      <c r="N138" s="182"/>
      <c r="O138" s="182"/>
      <c r="P138" s="182"/>
      <c r="Q138" s="182"/>
    </row>
    <row r="139" spans="1:17">
      <c r="A139" s="182"/>
      <c r="B139" s="182"/>
      <c r="C139" s="182"/>
      <c r="D139" s="182"/>
      <c r="E139" s="182"/>
      <c r="F139" s="182"/>
      <c r="G139" s="182"/>
      <c r="H139" s="182"/>
      <c r="I139" s="182"/>
      <c r="J139" s="182"/>
      <c r="K139" s="182"/>
      <c r="L139" s="182"/>
      <c r="M139" s="182"/>
      <c r="N139" s="182"/>
      <c r="O139" s="182"/>
      <c r="P139" s="182"/>
      <c r="Q139" s="182"/>
    </row>
    <row r="140" spans="1:17">
      <c r="A140" s="182"/>
      <c r="B140" s="182"/>
      <c r="C140" s="182"/>
      <c r="D140" s="182"/>
      <c r="E140" s="182"/>
      <c r="F140" s="182"/>
      <c r="G140" s="182"/>
      <c r="H140" s="182"/>
      <c r="I140" s="182"/>
      <c r="J140" s="182"/>
      <c r="K140" s="182"/>
      <c r="L140" s="182"/>
      <c r="M140" s="182"/>
      <c r="N140" s="182"/>
      <c r="O140" s="182"/>
      <c r="P140" s="182"/>
      <c r="Q140" s="182"/>
    </row>
    <row r="141" spans="1:17">
      <c r="A141" s="182"/>
      <c r="B141" s="182"/>
      <c r="C141" s="182"/>
      <c r="D141" s="182"/>
      <c r="E141" s="182"/>
      <c r="F141" s="182"/>
      <c r="G141" s="182"/>
      <c r="H141" s="182"/>
      <c r="I141" s="182"/>
      <c r="J141" s="182"/>
      <c r="K141" s="182"/>
      <c r="L141" s="182"/>
      <c r="M141" s="182"/>
      <c r="N141" s="182"/>
      <c r="O141" s="182"/>
      <c r="P141" s="182"/>
      <c r="Q141" s="182"/>
    </row>
    <row r="142" spans="1:17">
      <c r="A142" s="182"/>
      <c r="B142" s="182"/>
      <c r="C142" s="182"/>
      <c r="D142" s="182"/>
      <c r="E142" s="182"/>
      <c r="F142" s="182"/>
      <c r="G142" s="182"/>
      <c r="H142" s="182"/>
      <c r="I142" s="182"/>
      <c r="J142" s="182"/>
      <c r="K142" s="182"/>
      <c r="L142" s="182"/>
      <c r="M142" s="182"/>
      <c r="N142" s="182"/>
      <c r="O142" s="182"/>
      <c r="P142" s="182"/>
      <c r="Q142" s="182"/>
    </row>
    <row r="143" spans="1:17">
      <c r="A143" s="182"/>
      <c r="B143" s="182"/>
      <c r="C143" s="182"/>
      <c r="D143" s="182"/>
      <c r="E143" s="182"/>
      <c r="L143" s="182"/>
      <c r="M143" s="182"/>
      <c r="N143" s="182"/>
      <c r="O143" s="182"/>
      <c r="P143" s="182"/>
      <c r="Q143" s="182"/>
    </row>
    <row r="144" spans="1:17">
      <c r="A144" s="182"/>
      <c r="B144" s="182"/>
      <c r="C144" s="182"/>
      <c r="D144" s="182"/>
      <c r="E144" s="182"/>
      <c r="L144" s="182"/>
      <c r="M144" s="182"/>
      <c r="N144" s="182"/>
      <c r="O144" s="182"/>
      <c r="P144" s="182"/>
      <c r="Q144" s="182"/>
    </row>
    <row r="145" spans="1:17">
      <c r="A145" s="182"/>
      <c r="B145" s="505" t="s">
        <v>198</v>
      </c>
      <c r="C145" s="505"/>
      <c r="D145" s="505"/>
      <c r="E145" s="505"/>
      <c r="L145" s="182"/>
      <c r="M145" s="182"/>
      <c r="N145" s="182"/>
      <c r="O145" s="182"/>
      <c r="P145" s="182"/>
      <c r="Q145" s="182"/>
    </row>
    <row r="146" spans="1:17" ht="38.25">
      <c r="A146" s="182"/>
      <c r="B146" s="212"/>
      <c r="C146" s="214" t="s">
        <v>288</v>
      </c>
      <c r="D146" s="192" t="s">
        <v>258</v>
      </c>
      <c r="E146" s="192" t="s">
        <v>259</v>
      </c>
      <c r="L146" s="182"/>
      <c r="M146" s="182"/>
      <c r="N146" s="182"/>
      <c r="O146" s="182"/>
      <c r="P146" s="182"/>
      <c r="Q146" s="182"/>
    </row>
    <row r="147" spans="1:17">
      <c r="A147" s="182"/>
      <c r="B147" s="212"/>
      <c r="C147" s="215" t="s">
        <v>257</v>
      </c>
      <c r="D147" s="215" t="s">
        <v>210</v>
      </c>
      <c r="E147" s="215" t="s">
        <v>260</v>
      </c>
      <c r="L147" s="182"/>
      <c r="M147" s="182"/>
      <c r="N147" s="182"/>
      <c r="O147" s="182"/>
      <c r="P147" s="182"/>
      <c r="Q147" s="182"/>
    </row>
    <row r="148" spans="1:17">
      <c r="A148" s="182"/>
      <c r="B148" s="186" t="s">
        <v>256</v>
      </c>
      <c r="C148" s="186">
        <v>0.53600000000000003</v>
      </c>
      <c r="D148" s="186">
        <f>Cockpit!I14</f>
        <v>0</v>
      </c>
      <c r="E148" s="186">
        <f>C148*D148/1000</f>
        <v>0</v>
      </c>
      <c r="L148" s="182"/>
      <c r="M148" s="182"/>
      <c r="N148" s="182"/>
      <c r="O148" s="182"/>
      <c r="P148" s="182"/>
      <c r="Q148" s="182"/>
    </row>
    <row r="149" spans="1:17">
      <c r="A149" s="182"/>
      <c r="B149" s="186"/>
      <c r="C149" s="215" t="s">
        <v>189</v>
      </c>
      <c r="D149" s="215" t="s">
        <v>211</v>
      </c>
      <c r="E149" s="186"/>
      <c r="L149" s="182"/>
      <c r="M149" s="182"/>
      <c r="N149" s="182"/>
      <c r="O149" s="182"/>
      <c r="P149" s="182"/>
      <c r="Q149" s="182"/>
    </row>
    <row r="150" spans="1:17">
      <c r="A150" s="182"/>
      <c r="B150" s="186" t="s">
        <v>224</v>
      </c>
      <c r="C150" s="186">
        <v>2.1339999999999999</v>
      </c>
      <c r="D150" s="186">
        <f>Cockpit!I20</f>
        <v>0</v>
      </c>
      <c r="E150" s="186">
        <f t="shared" ref="E150" si="36">C150*D150/1000</f>
        <v>0</v>
      </c>
      <c r="L150" s="182"/>
      <c r="M150" s="182"/>
      <c r="N150" s="182"/>
      <c r="O150" s="182"/>
      <c r="P150" s="182"/>
      <c r="Q150" s="182"/>
    </row>
    <row r="151" spans="1:17">
      <c r="A151" s="182"/>
      <c r="B151" s="182"/>
      <c r="C151" s="182"/>
      <c r="D151" s="182"/>
      <c r="E151" s="182"/>
      <c r="L151" s="182"/>
      <c r="M151" s="182"/>
      <c r="N151" s="182"/>
      <c r="O151" s="182"/>
      <c r="P151" s="182"/>
      <c r="Q151" s="182"/>
    </row>
    <row r="152" spans="1:17" s="490" customFormat="1">
      <c r="A152" s="489"/>
      <c r="B152" s="489"/>
      <c r="C152" s="489"/>
      <c r="D152" s="489"/>
      <c r="E152" s="489"/>
      <c r="L152" s="489"/>
      <c r="M152" s="489"/>
      <c r="N152" s="489"/>
      <c r="O152" s="489"/>
      <c r="P152" s="489"/>
      <c r="Q152" s="489"/>
    </row>
    <row r="153" spans="1:17" s="63" customFormat="1" ht="14.25">
      <c r="A153" s="424">
        <v>2</v>
      </c>
      <c r="B153" s="417" t="s">
        <v>216</v>
      </c>
      <c r="C153" s="170"/>
      <c r="D153" s="170"/>
      <c r="E153" s="170"/>
      <c r="F153" s="170"/>
      <c r="G153" s="170"/>
      <c r="H153" s="418"/>
      <c r="I153" s="170"/>
      <c r="J153" s="170"/>
      <c r="K153" s="170"/>
      <c r="L153" s="170"/>
      <c r="M153" s="170"/>
      <c r="N153" s="170"/>
      <c r="O153" s="170"/>
      <c r="P153" s="170"/>
      <c r="Q153" s="170"/>
    </row>
    <row r="154" spans="1:17" s="63" customFormat="1" ht="15">
      <c r="A154" s="423">
        <v>3</v>
      </c>
      <c r="B154" s="417" t="s">
        <v>290</v>
      </c>
      <c r="C154" s="170"/>
      <c r="D154" s="170"/>
      <c r="E154" s="170"/>
      <c r="F154" s="170"/>
      <c r="G154" s="170"/>
      <c r="H154" s="170"/>
      <c r="I154" s="170"/>
      <c r="J154" s="170"/>
      <c r="K154" s="170"/>
      <c r="L154" s="170"/>
      <c r="M154" s="170"/>
      <c r="N154" s="170"/>
      <c r="O154" s="170"/>
      <c r="P154" s="170"/>
      <c r="Q154" s="170"/>
    </row>
    <row r="155" spans="1:17" s="63" customFormat="1" ht="15">
      <c r="A155" s="423"/>
      <c r="B155" s="417"/>
      <c r="C155" s="170"/>
      <c r="D155" s="170"/>
      <c r="E155" s="170"/>
      <c r="F155" s="170"/>
      <c r="G155" s="170"/>
      <c r="H155" s="170"/>
      <c r="I155" s="170"/>
      <c r="J155" s="170"/>
      <c r="K155" s="170"/>
      <c r="L155" s="170"/>
      <c r="M155" s="170"/>
      <c r="N155" s="170"/>
      <c r="O155" s="170"/>
      <c r="P155" s="170"/>
      <c r="Q155" s="170"/>
    </row>
    <row r="156" spans="1:17" s="63" customFormat="1" ht="15">
      <c r="A156" s="423"/>
      <c r="B156" s="417"/>
      <c r="C156" s="170"/>
      <c r="D156" s="170"/>
      <c r="E156" s="170"/>
      <c r="F156" s="170"/>
      <c r="G156" s="170"/>
      <c r="H156" s="170"/>
      <c r="I156" s="170"/>
      <c r="J156" s="170"/>
      <c r="K156" s="170"/>
      <c r="L156" s="170"/>
      <c r="M156" s="170"/>
      <c r="N156" s="170"/>
      <c r="O156" s="170"/>
      <c r="P156" s="170"/>
      <c r="Q156" s="170"/>
    </row>
    <row r="157" spans="1:17" s="63" customFormat="1" ht="15">
      <c r="A157" s="423"/>
      <c r="B157" s="417"/>
      <c r="C157" s="170"/>
      <c r="D157" s="170"/>
      <c r="E157" s="170"/>
      <c r="F157" s="170"/>
      <c r="G157" s="170"/>
      <c r="H157" s="170"/>
      <c r="I157" s="170"/>
      <c r="J157" s="170"/>
      <c r="K157" s="170"/>
      <c r="L157" s="170"/>
      <c r="M157" s="170"/>
      <c r="N157" s="170"/>
      <c r="O157" s="170"/>
      <c r="P157" s="170"/>
      <c r="Q157" s="170"/>
    </row>
    <row r="158" spans="1:17" s="63" customFormat="1" ht="15">
      <c r="A158" s="423"/>
      <c r="B158" s="417"/>
      <c r="C158" s="170"/>
      <c r="D158" s="170"/>
      <c r="E158" s="170"/>
      <c r="F158" s="170"/>
      <c r="G158" s="170"/>
      <c r="H158" s="170"/>
      <c r="I158" s="170"/>
      <c r="J158" s="170"/>
      <c r="K158" s="170"/>
      <c r="L158" s="170"/>
      <c r="M158" s="170"/>
      <c r="N158" s="170"/>
      <c r="O158" s="170"/>
      <c r="P158" s="170"/>
      <c r="Q158" s="170"/>
    </row>
    <row r="159" spans="1:17" s="63" customFormat="1" ht="15">
      <c r="A159" s="423"/>
      <c r="B159" s="417"/>
      <c r="C159" s="170"/>
      <c r="D159" s="170"/>
      <c r="E159" s="170"/>
      <c r="F159" s="170"/>
      <c r="G159" s="170"/>
      <c r="H159" s="170"/>
      <c r="I159" s="170"/>
      <c r="J159" s="170"/>
      <c r="K159" s="170"/>
      <c r="L159" s="170"/>
      <c r="M159" s="170"/>
      <c r="N159" s="170"/>
      <c r="O159" s="170"/>
      <c r="P159" s="170"/>
      <c r="Q159" s="170"/>
    </row>
    <row r="160" spans="1:17" s="63" customFormat="1" ht="15">
      <c r="A160" s="423"/>
      <c r="B160" s="417"/>
      <c r="C160" s="170"/>
      <c r="D160" s="170"/>
      <c r="E160" s="170"/>
      <c r="F160" s="170"/>
      <c r="G160" s="170"/>
      <c r="H160" s="170"/>
      <c r="I160" s="170"/>
      <c r="J160" s="170"/>
      <c r="K160" s="170"/>
      <c r="L160" s="170"/>
      <c r="M160" s="170"/>
      <c r="N160" s="170"/>
      <c r="O160" s="170"/>
      <c r="P160" s="170"/>
      <c r="Q160" s="170"/>
    </row>
    <row r="161" spans="1:17" s="63" customFormat="1" ht="15">
      <c r="A161" s="423"/>
      <c r="B161" s="417"/>
      <c r="C161" s="170"/>
      <c r="D161" s="170"/>
      <c r="E161" s="170"/>
      <c r="F161" s="170"/>
      <c r="G161" s="170"/>
      <c r="H161" s="170"/>
      <c r="I161" s="170"/>
      <c r="J161" s="170"/>
      <c r="K161" s="170"/>
      <c r="L161" s="170"/>
      <c r="M161" s="170"/>
      <c r="N161" s="170"/>
      <c r="O161" s="170"/>
      <c r="P161" s="170"/>
      <c r="Q161" s="170"/>
    </row>
    <row r="162" spans="1:17" s="63" customFormat="1" ht="15">
      <c r="A162" s="423"/>
      <c r="B162" s="417"/>
      <c r="C162" s="170"/>
      <c r="D162" s="170"/>
      <c r="E162" s="170"/>
      <c r="F162" s="170"/>
      <c r="G162" s="170"/>
      <c r="H162" s="170"/>
      <c r="I162" s="170"/>
      <c r="J162" s="170"/>
      <c r="K162" s="170"/>
      <c r="L162" s="170"/>
      <c r="M162" s="170"/>
      <c r="N162" s="170"/>
      <c r="O162" s="170"/>
      <c r="P162" s="170"/>
      <c r="Q162" s="170"/>
    </row>
    <row r="163" spans="1:17" s="63" customFormat="1" ht="15.75">
      <c r="A163" s="423">
        <v>4</v>
      </c>
      <c r="B163" s="417" t="s">
        <v>319</v>
      </c>
      <c r="C163" s="170"/>
      <c r="D163" s="170"/>
      <c r="E163" s="170"/>
      <c r="F163" s="170"/>
      <c r="G163" s="170"/>
      <c r="H163" s="170"/>
      <c r="I163" s="427"/>
      <c r="J163" s="170"/>
      <c r="K163" s="170"/>
      <c r="L163" s="170"/>
      <c r="M163" s="170"/>
      <c r="N163" s="170"/>
      <c r="O163" s="170"/>
      <c r="P163" s="170"/>
      <c r="Q163" s="170"/>
    </row>
    <row r="164" spans="1:17" s="63" customFormat="1">
      <c r="A164" s="170"/>
      <c r="B164" s="425" t="s">
        <v>188</v>
      </c>
      <c r="C164" s="417"/>
      <c r="D164" s="417"/>
      <c r="E164" s="417"/>
      <c r="F164" s="170"/>
      <c r="G164" s="170"/>
      <c r="H164" s="419"/>
      <c r="I164" s="170"/>
      <c r="J164" s="170"/>
      <c r="K164" s="170"/>
      <c r="L164" s="170"/>
      <c r="M164" s="170"/>
      <c r="N164" s="170"/>
      <c r="O164" s="170"/>
      <c r="P164" s="170"/>
      <c r="Q164" s="170"/>
    </row>
    <row r="165" spans="1:17" s="63" customFormat="1">
      <c r="A165" s="170"/>
      <c r="B165" s="417" t="s">
        <v>190</v>
      </c>
      <c r="C165" s="417" t="s">
        <v>186</v>
      </c>
      <c r="D165" s="417"/>
      <c r="E165" s="417"/>
      <c r="F165" s="170"/>
      <c r="G165" s="170"/>
      <c r="H165" s="419"/>
      <c r="I165" s="170"/>
      <c r="J165" s="170"/>
      <c r="K165" s="170"/>
      <c r="L165" s="170"/>
      <c r="M165" s="170"/>
      <c r="N165" s="170"/>
      <c r="O165" s="170"/>
      <c r="P165" s="170"/>
      <c r="Q165" s="170"/>
    </row>
    <row r="166" spans="1:17" s="63" customFormat="1">
      <c r="A166" s="170"/>
      <c r="B166" s="417" t="s">
        <v>190</v>
      </c>
      <c r="C166" s="417" t="s">
        <v>187</v>
      </c>
      <c r="D166" s="417"/>
      <c r="E166" s="417"/>
      <c r="F166" s="170"/>
      <c r="G166" s="170"/>
      <c r="H166" s="420"/>
      <c r="I166" s="170"/>
      <c r="J166" s="170"/>
      <c r="K166" s="170"/>
      <c r="L166" s="170"/>
      <c r="M166" s="170"/>
      <c r="N166" s="170"/>
      <c r="O166" s="170"/>
      <c r="P166" s="170"/>
      <c r="Q166" s="170"/>
    </row>
    <row r="167" spans="1:17" s="63" customFormat="1">
      <c r="A167" s="170"/>
      <c r="B167" s="417" t="s">
        <v>194</v>
      </c>
      <c r="C167" s="417" t="s">
        <v>196</v>
      </c>
      <c r="D167" s="417"/>
      <c r="E167" s="417"/>
      <c r="F167" s="170"/>
      <c r="G167" s="170"/>
      <c r="H167" s="421"/>
      <c r="I167" s="170"/>
      <c r="J167" s="170"/>
      <c r="K167" s="170"/>
      <c r="L167" s="170"/>
      <c r="M167" s="170"/>
      <c r="N167" s="170"/>
      <c r="O167" s="170"/>
      <c r="P167" s="170"/>
      <c r="Q167" s="170"/>
    </row>
    <row r="168" spans="1:17" s="63" customFormat="1">
      <c r="A168" s="170"/>
      <c r="B168" s="417" t="s">
        <v>193</v>
      </c>
      <c r="C168" s="417" t="s">
        <v>191</v>
      </c>
      <c r="D168" s="417"/>
      <c r="E168" s="417"/>
      <c r="F168" s="170"/>
      <c r="G168" s="170"/>
      <c r="H168" s="170"/>
      <c r="I168" s="170"/>
      <c r="J168" s="170"/>
      <c r="K168" s="170"/>
      <c r="L168" s="170"/>
      <c r="M168" s="170"/>
      <c r="N168" s="170"/>
      <c r="O168" s="170"/>
      <c r="P168" s="170"/>
      <c r="Q168" s="170"/>
    </row>
    <row r="169" spans="1:17" s="63" customFormat="1">
      <c r="A169" s="170"/>
      <c r="B169" s="417" t="s">
        <v>193</v>
      </c>
      <c r="C169" s="417" t="s">
        <v>192</v>
      </c>
      <c r="D169" s="426"/>
      <c r="E169" s="417"/>
      <c r="F169" s="170"/>
      <c r="G169" s="170"/>
      <c r="H169" s="170"/>
      <c r="I169" s="170"/>
      <c r="J169" s="170"/>
      <c r="K169" s="170"/>
      <c r="L169" s="170"/>
      <c r="M169" s="170"/>
      <c r="N169" s="170"/>
      <c r="O169" s="170"/>
      <c r="P169" s="170"/>
      <c r="Q169" s="170"/>
    </row>
    <row r="170" spans="1:17" s="63" customFormat="1">
      <c r="A170" s="170"/>
      <c r="B170" s="417" t="s">
        <v>195</v>
      </c>
      <c r="C170" s="417" t="s">
        <v>196</v>
      </c>
      <c r="D170" s="417"/>
      <c r="E170" s="417"/>
      <c r="F170" s="170"/>
      <c r="G170" s="170"/>
      <c r="H170" s="170"/>
      <c r="I170" s="170"/>
      <c r="J170" s="170"/>
      <c r="K170" s="170"/>
      <c r="L170" s="170"/>
      <c r="M170" s="170"/>
      <c r="N170" s="170"/>
      <c r="O170" s="170"/>
      <c r="P170" s="170"/>
      <c r="Q170" s="170"/>
    </row>
    <row r="171" spans="1:17" s="63" customFormat="1">
      <c r="A171" s="170"/>
      <c r="B171" s="170"/>
      <c r="C171" s="170"/>
      <c r="D171" s="170"/>
      <c r="E171" s="170"/>
      <c r="F171" s="170"/>
      <c r="G171" s="170"/>
      <c r="H171" s="170"/>
      <c r="I171" s="170"/>
      <c r="J171" s="170"/>
      <c r="K171" s="170"/>
      <c r="L171" s="170"/>
      <c r="M171" s="170"/>
      <c r="N171" s="170"/>
      <c r="O171" s="170"/>
      <c r="P171" s="170"/>
      <c r="Q171" s="170"/>
    </row>
    <row r="172" spans="1:17" s="63" customFormat="1">
      <c r="A172" s="170"/>
      <c r="B172" s="170"/>
      <c r="C172" s="170"/>
      <c r="D172" s="170"/>
      <c r="E172" s="170"/>
      <c r="F172" s="170"/>
      <c r="G172" s="170"/>
      <c r="H172" s="170"/>
      <c r="I172" s="170"/>
      <c r="J172" s="170"/>
      <c r="K172" s="170"/>
      <c r="L172" s="170"/>
      <c r="M172" s="170"/>
      <c r="N172" s="170"/>
      <c r="O172" s="170"/>
      <c r="P172" s="170"/>
      <c r="Q172" s="170"/>
    </row>
    <row r="173" spans="1:17" s="63" customFormat="1">
      <c r="A173" s="170"/>
      <c r="B173" s="170"/>
      <c r="C173" s="170"/>
      <c r="D173" s="170"/>
      <c r="E173" s="170"/>
      <c r="F173" s="170"/>
      <c r="G173" s="170"/>
      <c r="H173" s="170"/>
      <c r="I173" s="170"/>
      <c r="J173" s="170"/>
      <c r="K173" s="170"/>
      <c r="L173" s="170"/>
      <c r="M173" s="170"/>
      <c r="N173" s="170"/>
      <c r="O173" s="170"/>
      <c r="P173" s="170"/>
      <c r="Q173" s="170"/>
    </row>
    <row r="174" spans="1:17" s="63" customFormat="1">
      <c r="A174" s="170"/>
      <c r="B174" s="170"/>
      <c r="C174" s="170"/>
      <c r="D174" s="170"/>
      <c r="E174" s="170"/>
      <c r="F174" s="170"/>
      <c r="G174" s="170"/>
      <c r="H174" s="170"/>
      <c r="I174" s="170"/>
      <c r="J174" s="170"/>
      <c r="K174" s="170"/>
      <c r="L174" s="170"/>
      <c r="M174" s="170"/>
      <c r="N174" s="170"/>
      <c r="O174" s="170"/>
      <c r="P174" s="170"/>
      <c r="Q174" s="170"/>
    </row>
    <row r="175" spans="1:17" s="63" customFormat="1">
      <c r="A175" s="170"/>
      <c r="B175" s="170"/>
      <c r="C175" s="170"/>
      <c r="D175" s="170"/>
      <c r="E175" s="170"/>
      <c r="F175" s="170"/>
      <c r="G175" s="170"/>
      <c r="H175" s="170"/>
      <c r="I175" s="170"/>
      <c r="J175" s="170"/>
      <c r="K175" s="170"/>
      <c r="L175" s="170"/>
      <c r="M175" s="170"/>
      <c r="N175" s="170"/>
      <c r="O175" s="170"/>
      <c r="P175" s="170"/>
      <c r="Q175" s="170"/>
    </row>
    <row r="176" spans="1:17" s="63" customFormat="1">
      <c r="B176" s="422"/>
      <c r="C176" s="422"/>
      <c r="D176" s="422"/>
      <c r="E176" s="422"/>
      <c r="F176" s="422"/>
      <c r="G176" s="422"/>
      <c r="H176" s="422"/>
      <c r="I176" s="422"/>
      <c r="J176" s="422"/>
      <c r="K176" s="422"/>
      <c r="L176" s="422"/>
      <c r="M176" s="422"/>
      <c r="N176" s="422"/>
      <c r="O176" s="422"/>
      <c r="P176" s="422"/>
      <c r="Q176" s="422"/>
    </row>
    <row r="177" spans="2:17" s="63" customFormat="1">
      <c r="B177" s="422"/>
      <c r="C177" s="422"/>
      <c r="D177" s="422"/>
      <c r="E177" s="422"/>
      <c r="F177" s="422"/>
      <c r="G177" s="422"/>
      <c r="H177" s="422"/>
      <c r="I177" s="422"/>
      <c r="J177" s="422"/>
      <c r="K177" s="422"/>
      <c r="L177" s="422"/>
      <c r="M177" s="422"/>
      <c r="N177" s="422"/>
      <c r="O177" s="422"/>
      <c r="P177" s="422"/>
      <c r="Q177" s="422"/>
    </row>
    <row r="178" spans="2:17" s="63" customFormat="1">
      <c r="B178" s="422"/>
      <c r="C178" s="422"/>
      <c r="D178" s="422"/>
      <c r="E178" s="422"/>
      <c r="F178" s="422"/>
      <c r="G178" s="422"/>
      <c r="H178" s="422"/>
      <c r="I178" s="422"/>
      <c r="J178" s="422"/>
      <c r="K178" s="422"/>
      <c r="L178" s="422"/>
      <c r="M178" s="422"/>
      <c r="N178" s="422"/>
      <c r="O178" s="422"/>
      <c r="P178" s="422"/>
      <c r="Q178" s="422"/>
    </row>
    <row r="179" spans="2:17" s="63" customFormat="1">
      <c r="B179" s="422"/>
      <c r="C179" s="422"/>
      <c r="D179" s="422"/>
      <c r="E179" s="422"/>
      <c r="F179" s="422"/>
      <c r="G179" s="422"/>
      <c r="H179" s="422"/>
      <c r="I179" s="422"/>
      <c r="J179" s="422"/>
      <c r="K179" s="422"/>
      <c r="L179" s="422"/>
      <c r="M179" s="422"/>
      <c r="N179" s="422"/>
      <c r="O179" s="422"/>
      <c r="P179" s="422"/>
      <c r="Q179" s="422"/>
    </row>
    <row r="180" spans="2:17" s="63" customFormat="1">
      <c r="B180" s="422"/>
      <c r="C180" s="422"/>
      <c r="D180" s="422"/>
      <c r="E180" s="422"/>
      <c r="F180" s="422"/>
      <c r="G180" s="422"/>
      <c r="H180" s="422"/>
      <c r="I180" s="422"/>
      <c r="J180" s="422"/>
      <c r="K180" s="422"/>
      <c r="L180" s="422"/>
      <c r="M180" s="422"/>
      <c r="N180" s="422"/>
      <c r="O180" s="422"/>
      <c r="P180" s="422"/>
      <c r="Q180" s="422"/>
    </row>
    <row r="181" spans="2:17" s="63" customFormat="1">
      <c r="B181" s="422"/>
      <c r="C181" s="422"/>
      <c r="D181" s="422"/>
      <c r="E181" s="422"/>
      <c r="F181" s="422"/>
      <c r="G181" s="422"/>
      <c r="H181" s="422"/>
      <c r="I181" s="422"/>
      <c r="J181" s="422"/>
      <c r="K181" s="422"/>
      <c r="L181" s="422"/>
      <c r="M181" s="422"/>
      <c r="N181" s="422"/>
      <c r="O181" s="422"/>
      <c r="P181" s="422"/>
      <c r="Q181" s="422"/>
    </row>
    <row r="182" spans="2:17" s="63" customFormat="1">
      <c r="B182" s="422"/>
      <c r="C182" s="422"/>
      <c r="D182" s="422"/>
      <c r="E182" s="422"/>
      <c r="F182" s="422"/>
      <c r="G182" s="422"/>
      <c r="H182" s="422"/>
      <c r="I182" s="422"/>
      <c r="J182" s="422"/>
      <c r="K182" s="422"/>
      <c r="L182" s="422"/>
      <c r="M182" s="422"/>
      <c r="N182" s="422"/>
      <c r="O182" s="422"/>
      <c r="P182" s="422"/>
      <c r="Q182" s="422"/>
    </row>
    <row r="183" spans="2:17" s="63" customFormat="1">
      <c r="B183" s="422"/>
      <c r="C183" s="422"/>
      <c r="D183" s="422"/>
      <c r="E183" s="422"/>
      <c r="F183" s="422"/>
      <c r="G183" s="422"/>
      <c r="H183" s="422"/>
      <c r="I183" s="422"/>
      <c r="J183" s="422"/>
      <c r="K183" s="422"/>
      <c r="L183" s="422"/>
      <c r="M183" s="422"/>
      <c r="N183" s="422"/>
      <c r="O183" s="422"/>
      <c r="P183" s="422"/>
      <c r="Q183" s="422"/>
    </row>
    <row r="184" spans="2:17" s="63" customFormat="1">
      <c r="B184" s="422"/>
      <c r="C184" s="422"/>
      <c r="D184" s="422"/>
      <c r="E184" s="422"/>
      <c r="F184" s="422"/>
      <c r="G184" s="422"/>
      <c r="H184" s="422"/>
      <c r="I184" s="422"/>
      <c r="J184" s="422"/>
      <c r="K184" s="422"/>
      <c r="L184" s="422"/>
      <c r="M184" s="422"/>
      <c r="N184" s="422"/>
      <c r="O184" s="422"/>
      <c r="P184" s="422"/>
      <c r="Q184" s="422"/>
    </row>
    <row r="185" spans="2:17" s="63" customFormat="1">
      <c r="B185" s="422"/>
      <c r="C185" s="422"/>
      <c r="D185" s="422"/>
      <c r="E185" s="422"/>
      <c r="F185" s="422"/>
      <c r="G185" s="422"/>
      <c r="H185" s="422"/>
      <c r="I185" s="422"/>
      <c r="J185" s="422"/>
      <c r="K185" s="422"/>
      <c r="L185" s="422"/>
      <c r="M185" s="422"/>
      <c r="N185" s="422"/>
      <c r="O185" s="422"/>
      <c r="P185" s="422"/>
      <c r="Q185" s="422"/>
    </row>
    <row r="186" spans="2:17" s="63" customFormat="1">
      <c r="B186" s="422"/>
      <c r="C186" s="422"/>
      <c r="D186" s="422"/>
      <c r="E186" s="422"/>
      <c r="F186" s="422"/>
      <c r="G186" s="422"/>
      <c r="H186" s="422"/>
      <c r="I186" s="422"/>
      <c r="J186" s="422"/>
      <c r="K186" s="422"/>
      <c r="L186" s="422"/>
      <c r="M186" s="422"/>
      <c r="N186" s="422"/>
      <c r="O186" s="422"/>
      <c r="P186" s="422"/>
      <c r="Q186" s="422"/>
    </row>
    <row r="187" spans="2:17" s="63" customFormat="1">
      <c r="B187" s="422"/>
      <c r="C187" s="422"/>
      <c r="D187" s="422"/>
      <c r="E187" s="422"/>
      <c r="F187" s="422"/>
      <c r="G187" s="422"/>
      <c r="H187" s="422"/>
      <c r="I187" s="422"/>
      <c r="J187" s="422"/>
      <c r="K187" s="422"/>
      <c r="L187" s="422"/>
      <c r="M187" s="422"/>
      <c r="N187" s="422"/>
      <c r="O187" s="422"/>
      <c r="P187" s="422"/>
      <c r="Q187" s="422"/>
    </row>
    <row r="188" spans="2:17" s="63" customFormat="1">
      <c r="B188" s="422"/>
      <c r="C188" s="422"/>
      <c r="D188" s="422"/>
      <c r="E188" s="422"/>
      <c r="F188" s="422"/>
      <c r="G188" s="422"/>
      <c r="H188" s="422"/>
      <c r="I188" s="422"/>
      <c r="J188" s="422"/>
      <c r="K188" s="422"/>
      <c r="L188" s="422"/>
      <c r="M188" s="422"/>
      <c r="N188" s="422"/>
      <c r="O188" s="422"/>
      <c r="P188" s="422"/>
      <c r="Q188" s="422"/>
    </row>
    <row r="189" spans="2:17" s="63" customFormat="1">
      <c r="B189" s="422"/>
      <c r="C189" s="422"/>
      <c r="D189" s="422"/>
      <c r="E189" s="422"/>
      <c r="F189" s="422"/>
      <c r="G189" s="422"/>
      <c r="H189" s="422"/>
      <c r="I189" s="422"/>
      <c r="J189" s="422"/>
      <c r="K189" s="422"/>
      <c r="L189" s="422"/>
      <c r="M189" s="422"/>
      <c r="N189" s="422"/>
      <c r="O189" s="422"/>
      <c r="P189" s="422"/>
      <c r="Q189" s="422"/>
    </row>
    <row r="190" spans="2:17" s="63" customFormat="1">
      <c r="B190" s="422"/>
      <c r="C190" s="422"/>
      <c r="D190" s="422"/>
      <c r="E190" s="422"/>
      <c r="F190" s="422"/>
      <c r="G190" s="422"/>
      <c r="H190" s="422"/>
      <c r="I190" s="422"/>
      <c r="J190" s="422"/>
      <c r="K190" s="422"/>
      <c r="L190" s="422"/>
      <c r="M190" s="422"/>
      <c r="N190" s="422"/>
      <c r="O190" s="422"/>
      <c r="P190" s="422"/>
      <c r="Q190" s="422"/>
    </row>
    <row r="191" spans="2:17">
      <c r="B191" s="97"/>
      <c r="C191" s="97"/>
      <c r="D191" s="97"/>
      <c r="E191" s="97"/>
      <c r="F191" s="97"/>
      <c r="G191" s="97"/>
      <c r="H191" s="97"/>
      <c r="I191" s="97"/>
      <c r="J191" s="97"/>
      <c r="K191" s="97"/>
      <c r="L191" s="97"/>
      <c r="M191" s="97"/>
      <c r="N191" s="97"/>
      <c r="O191" s="97"/>
      <c r="P191" s="97"/>
      <c r="Q191" s="97"/>
    </row>
    <row r="192" spans="2:17">
      <c r="B192" s="97"/>
      <c r="C192" s="97"/>
      <c r="D192" s="97"/>
      <c r="E192" s="97"/>
      <c r="F192" s="97"/>
      <c r="G192" s="97"/>
      <c r="H192" s="97"/>
      <c r="I192" s="97"/>
      <c r="J192" s="97"/>
      <c r="K192" s="97"/>
      <c r="L192" s="97"/>
      <c r="M192" s="97"/>
      <c r="N192" s="97"/>
      <c r="O192" s="97"/>
      <c r="P192" s="97"/>
      <c r="Q192" s="97"/>
    </row>
    <row r="193" spans="2:17">
      <c r="B193" s="97"/>
      <c r="C193" s="97"/>
      <c r="D193" s="97"/>
      <c r="E193" s="97"/>
      <c r="F193" s="97"/>
      <c r="G193" s="97"/>
      <c r="H193" s="97"/>
      <c r="I193" s="97"/>
      <c r="J193" s="97"/>
      <c r="K193" s="97"/>
      <c r="L193" s="97"/>
      <c r="M193" s="97"/>
      <c r="N193" s="97"/>
      <c r="O193" s="97"/>
      <c r="P193" s="97"/>
      <c r="Q193" s="97"/>
    </row>
    <row r="194" spans="2:17">
      <c r="B194" s="97"/>
      <c r="C194" s="97"/>
      <c r="D194" s="97"/>
      <c r="E194" s="97"/>
      <c r="F194" s="97"/>
      <c r="G194" s="97"/>
      <c r="H194" s="97"/>
      <c r="I194" s="97"/>
      <c r="J194" s="97"/>
      <c r="K194" s="97"/>
      <c r="L194" s="97"/>
      <c r="M194" s="97"/>
      <c r="N194" s="97"/>
      <c r="O194" s="97"/>
      <c r="P194" s="97"/>
      <c r="Q194" s="97"/>
    </row>
    <row r="195" spans="2:17">
      <c r="B195" s="97"/>
      <c r="C195" s="97"/>
      <c r="D195" s="97"/>
      <c r="E195" s="97"/>
      <c r="F195" s="97"/>
      <c r="G195" s="97"/>
      <c r="H195" s="97"/>
      <c r="I195" s="97"/>
      <c r="J195" s="97"/>
      <c r="K195" s="97"/>
      <c r="L195" s="97"/>
      <c r="M195" s="97"/>
      <c r="N195" s="97"/>
      <c r="O195" s="97"/>
      <c r="P195" s="97"/>
      <c r="Q195" s="97"/>
    </row>
    <row r="196" spans="2:17">
      <c r="B196" s="97"/>
      <c r="C196" s="97"/>
      <c r="D196" s="97"/>
      <c r="E196" s="97"/>
      <c r="F196" s="97"/>
      <c r="G196" s="97"/>
      <c r="H196" s="97"/>
      <c r="I196" s="97"/>
      <c r="J196" s="97"/>
      <c r="K196" s="97"/>
      <c r="L196" s="97"/>
      <c r="M196" s="97"/>
      <c r="N196" s="97"/>
      <c r="O196" s="97"/>
      <c r="P196" s="97"/>
      <c r="Q196" s="97"/>
    </row>
    <row r="197" spans="2:17">
      <c r="B197" s="97"/>
      <c r="C197" s="97"/>
      <c r="D197" s="97"/>
      <c r="E197" s="97"/>
      <c r="F197" s="97"/>
      <c r="G197" s="97"/>
      <c r="H197" s="97"/>
      <c r="I197" s="97"/>
      <c r="J197" s="97"/>
      <c r="K197" s="97"/>
      <c r="L197" s="97"/>
      <c r="M197" s="97"/>
      <c r="N197" s="97"/>
      <c r="O197" s="97"/>
      <c r="P197" s="97"/>
      <c r="Q197" s="97"/>
    </row>
    <row r="198" spans="2:17">
      <c r="B198" s="97"/>
      <c r="C198" s="97"/>
      <c r="D198" s="97"/>
      <c r="E198" s="97"/>
      <c r="F198" s="97"/>
      <c r="G198" s="97"/>
      <c r="H198" s="97"/>
      <c r="I198" s="97"/>
      <c r="J198" s="97"/>
      <c r="K198" s="97"/>
      <c r="L198" s="97"/>
      <c r="M198" s="97"/>
      <c r="N198" s="97"/>
      <c r="O198" s="97"/>
      <c r="P198" s="97"/>
      <c r="Q198" s="97"/>
    </row>
    <row r="199" spans="2:17">
      <c r="B199" s="97"/>
      <c r="C199" s="97"/>
      <c r="D199" s="97"/>
      <c r="E199" s="97"/>
      <c r="F199" s="97"/>
      <c r="G199" s="97"/>
      <c r="H199" s="97"/>
      <c r="I199" s="97"/>
      <c r="J199" s="97"/>
      <c r="K199" s="97"/>
      <c r="L199" s="97"/>
      <c r="M199" s="97"/>
      <c r="N199" s="97"/>
      <c r="O199" s="97"/>
      <c r="P199" s="97"/>
      <c r="Q199" s="97"/>
    </row>
    <row r="200" spans="2:17">
      <c r="B200" s="97"/>
      <c r="C200" s="97"/>
      <c r="D200" s="97"/>
      <c r="E200" s="97"/>
      <c r="F200" s="97"/>
      <c r="G200" s="97"/>
      <c r="H200" s="97"/>
      <c r="I200" s="97"/>
      <c r="J200" s="97"/>
      <c r="K200" s="97"/>
      <c r="L200" s="97"/>
      <c r="M200" s="97"/>
      <c r="N200" s="97"/>
      <c r="O200" s="97"/>
      <c r="P200" s="97"/>
      <c r="Q200" s="97"/>
    </row>
    <row r="201" spans="2:17">
      <c r="B201" s="97"/>
      <c r="C201" s="97"/>
      <c r="D201" s="97"/>
      <c r="E201" s="97"/>
      <c r="F201" s="97"/>
      <c r="G201" s="97"/>
      <c r="H201" s="97"/>
      <c r="I201" s="97"/>
      <c r="J201" s="97"/>
      <c r="K201" s="97"/>
      <c r="L201" s="97"/>
      <c r="M201" s="97"/>
      <c r="N201" s="97"/>
      <c r="O201" s="97"/>
      <c r="P201" s="97"/>
      <c r="Q201" s="97"/>
    </row>
    <row r="202" spans="2:17">
      <c r="B202" s="97"/>
      <c r="C202" s="97"/>
      <c r="D202" s="97"/>
      <c r="E202" s="97"/>
      <c r="F202" s="97"/>
      <c r="G202" s="97"/>
      <c r="H202" s="97"/>
      <c r="I202" s="97"/>
      <c r="J202" s="97"/>
      <c r="K202" s="97"/>
      <c r="L202" s="97"/>
      <c r="M202" s="97"/>
      <c r="N202" s="97"/>
      <c r="O202" s="97"/>
      <c r="P202" s="97"/>
      <c r="Q202" s="97"/>
    </row>
    <row r="203" spans="2:17">
      <c r="B203" s="97"/>
      <c r="C203" s="97"/>
      <c r="D203" s="97"/>
      <c r="E203" s="97"/>
      <c r="F203" s="97"/>
      <c r="G203" s="97"/>
      <c r="H203" s="97"/>
      <c r="I203" s="97"/>
      <c r="J203" s="97"/>
      <c r="K203" s="97"/>
      <c r="L203" s="97"/>
      <c r="M203" s="97"/>
      <c r="N203" s="97"/>
      <c r="O203" s="97"/>
      <c r="P203" s="97"/>
      <c r="Q203" s="97"/>
    </row>
    <row r="204" spans="2:17">
      <c r="B204" s="97"/>
      <c r="C204" s="97"/>
      <c r="D204" s="97"/>
      <c r="E204" s="97"/>
      <c r="F204" s="97"/>
      <c r="G204" s="97"/>
      <c r="H204" s="97"/>
      <c r="I204" s="97"/>
      <c r="J204" s="97"/>
      <c r="K204" s="97"/>
      <c r="L204" s="97"/>
      <c r="M204" s="97"/>
      <c r="N204" s="97"/>
      <c r="O204" s="97"/>
      <c r="P204" s="97"/>
      <c r="Q204" s="97"/>
    </row>
    <row r="205" spans="2:17">
      <c r="B205" s="97"/>
      <c r="C205" s="97"/>
      <c r="D205" s="97"/>
      <c r="E205" s="97"/>
      <c r="F205" s="97"/>
      <c r="G205" s="97"/>
      <c r="H205" s="97"/>
      <c r="I205" s="97"/>
      <c r="J205" s="97"/>
      <c r="K205" s="97"/>
      <c r="L205" s="97"/>
      <c r="M205" s="97"/>
      <c r="N205" s="97"/>
      <c r="O205" s="97"/>
      <c r="P205" s="97"/>
      <c r="Q205" s="97"/>
    </row>
    <row r="206" spans="2:17">
      <c r="B206" s="97"/>
      <c r="C206" s="97"/>
      <c r="D206" s="97"/>
      <c r="E206" s="97"/>
      <c r="F206" s="97"/>
      <c r="G206" s="97"/>
      <c r="H206" s="97"/>
      <c r="I206" s="97"/>
      <c r="J206" s="97"/>
      <c r="K206" s="97"/>
      <c r="L206" s="97"/>
      <c r="M206" s="97"/>
      <c r="N206" s="97"/>
      <c r="O206" s="97"/>
      <c r="P206" s="97"/>
      <c r="Q206" s="97"/>
    </row>
    <row r="207" spans="2:17">
      <c r="B207" s="97"/>
      <c r="C207" s="97"/>
      <c r="D207" s="97"/>
      <c r="E207" s="97"/>
      <c r="F207" s="97"/>
      <c r="G207" s="97"/>
      <c r="H207" s="97"/>
      <c r="I207" s="97"/>
      <c r="J207" s="97"/>
      <c r="K207" s="97"/>
      <c r="L207" s="97"/>
      <c r="M207" s="97"/>
      <c r="N207" s="97"/>
      <c r="O207" s="97"/>
      <c r="P207" s="97"/>
      <c r="Q207" s="97"/>
    </row>
    <row r="208" spans="2:17">
      <c r="B208" s="97"/>
      <c r="C208" s="97"/>
      <c r="D208" s="97"/>
      <c r="E208" s="97"/>
      <c r="F208" s="97"/>
      <c r="G208" s="97"/>
      <c r="H208" s="97"/>
      <c r="I208" s="97"/>
      <c r="J208" s="97"/>
      <c r="K208" s="97"/>
      <c r="L208" s="97"/>
      <c r="M208" s="97"/>
      <c r="N208" s="97"/>
      <c r="O208" s="97"/>
      <c r="P208" s="97"/>
      <c r="Q208" s="97"/>
    </row>
    <row r="209" spans="2:17">
      <c r="B209" s="97"/>
      <c r="C209" s="97"/>
      <c r="D209" s="97"/>
      <c r="E209" s="97"/>
      <c r="F209" s="97"/>
      <c r="G209" s="97"/>
      <c r="H209" s="97"/>
      <c r="I209" s="97"/>
      <c r="J209" s="97"/>
      <c r="K209" s="97"/>
      <c r="L209" s="97"/>
      <c r="M209" s="97"/>
      <c r="N209" s="97"/>
      <c r="O209" s="97"/>
      <c r="P209" s="97"/>
      <c r="Q209" s="97"/>
    </row>
    <row r="210" spans="2:17">
      <c r="B210" s="97"/>
      <c r="C210" s="97"/>
      <c r="D210" s="97"/>
      <c r="E210" s="97"/>
      <c r="F210" s="97"/>
      <c r="G210" s="97"/>
      <c r="H210" s="97"/>
      <c r="I210" s="97"/>
      <c r="J210" s="97"/>
      <c r="K210" s="97"/>
      <c r="L210" s="97"/>
      <c r="M210" s="97"/>
      <c r="N210" s="97"/>
      <c r="O210" s="97"/>
      <c r="P210" s="97"/>
      <c r="Q210" s="97"/>
    </row>
    <row r="211" spans="2:17">
      <c r="B211" s="97"/>
      <c r="C211" s="97"/>
      <c r="D211" s="97"/>
      <c r="E211" s="97"/>
      <c r="F211" s="97"/>
      <c r="G211" s="97"/>
      <c r="H211" s="97"/>
      <c r="I211" s="97"/>
      <c r="J211" s="97"/>
      <c r="K211" s="97"/>
      <c r="L211" s="97"/>
      <c r="M211" s="97"/>
      <c r="N211" s="97"/>
      <c r="O211" s="97"/>
      <c r="P211" s="97"/>
      <c r="Q211" s="97"/>
    </row>
    <row r="212" spans="2:17">
      <c r="B212" s="97"/>
      <c r="C212" s="97"/>
      <c r="D212" s="97"/>
      <c r="E212" s="97"/>
      <c r="F212" s="97"/>
      <c r="G212" s="97"/>
      <c r="H212" s="97"/>
      <c r="I212" s="97"/>
      <c r="J212" s="97"/>
      <c r="K212" s="97"/>
      <c r="L212" s="97"/>
      <c r="M212" s="97"/>
      <c r="N212" s="97"/>
      <c r="O212" s="97"/>
      <c r="P212" s="97"/>
      <c r="Q212" s="97"/>
    </row>
    <row r="213" spans="2:17">
      <c r="B213" s="97"/>
      <c r="C213" s="97"/>
      <c r="D213" s="97"/>
      <c r="E213" s="97"/>
      <c r="F213" s="97"/>
      <c r="G213" s="97"/>
      <c r="H213" s="97"/>
      <c r="I213" s="97"/>
      <c r="J213" s="97"/>
      <c r="K213" s="97"/>
      <c r="L213" s="97"/>
      <c r="M213" s="97"/>
      <c r="N213" s="97"/>
      <c r="O213" s="97"/>
      <c r="P213" s="97"/>
      <c r="Q213" s="97"/>
    </row>
    <row r="214" spans="2:17">
      <c r="B214" s="97"/>
      <c r="C214" s="97"/>
      <c r="D214" s="97"/>
      <c r="E214" s="97"/>
      <c r="F214" s="97"/>
      <c r="G214" s="97"/>
      <c r="H214" s="97"/>
      <c r="I214" s="97"/>
      <c r="J214" s="97"/>
      <c r="K214" s="97"/>
      <c r="L214" s="97"/>
      <c r="M214" s="97"/>
      <c r="N214" s="97"/>
      <c r="O214" s="97"/>
      <c r="P214" s="97"/>
      <c r="Q214" s="97"/>
    </row>
    <row r="215" spans="2:17">
      <c r="B215" s="97"/>
      <c r="C215" s="97"/>
      <c r="D215" s="97"/>
      <c r="E215" s="97"/>
      <c r="F215" s="97"/>
      <c r="G215" s="97"/>
      <c r="H215" s="97"/>
      <c r="I215" s="97"/>
      <c r="J215" s="97"/>
      <c r="K215" s="97"/>
      <c r="L215" s="97"/>
      <c r="M215" s="97"/>
      <c r="N215" s="97"/>
      <c r="O215" s="97"/>
      <c r="P215" s="97"/>
      <c r="Q215" s="97"/>
    </row>
    <row r="216" spans="2:17">
      <c r="B216" s="97"/>
      <c r="C216" s="97"/>
      <c r="D216" s="97"/>
      <c r="E216" s="97"/>
      <c r="F216" s="97"/>
      <c r="G216" s="97"/>
      <c r="H216" s="97"/>
      <c r="I216" s="97"/>
      <c r="J216" s="97"/>
      <c r="K216" s="97"/>
      <c r="L216" s="97"/>
      <c r="M216" s="97"/>
      <c r="N216" s="97"/>
      <c r="O216" s="97"/>
      <c r="P216" s="97"/>
      <c r="Q216" s="97"/>
    </row>
    <row r="217" spans="2:17">
      <c r="B217" s="97"/>
      <c r="C217" s="97"/>
      <c r="D217" s="97"/>
      <c r="E217" s="97"/>
      <c r="F217" s="97"/>
      <c r="G217" s="97"/>
      <c r="H217" s="97"/>
      <c r="I217" s="97"/>
      <c r="J217" s="97"/>
      <c r="K217" s="97"/>
      <c r="L217" s="97"/>
      <c r="M217" s="97"/>
      <c r="N217" s="97"/>
      <c r="O217" s="97"/>
      <c r="P217" s="97"/>
      <c r="Q217" s="97"/>
    </row>
    <row r="218" spans="2:17">
      <c r="B218" s="97"/>
      <c r="C218" s="97"/>
      <c r="D218" s="97"/>
      <c r="E218" s="97"/>
      <c r="F218" s="97"/>
      <c r="G218" s="97"/>
      <c r="H218" s="97"/>
      <c r="I218" s="97"/>
      <c r="J218" s="97"/>
      <c r="K218" s="97"/>
      <c r="L218" s="97"/>
      <c r="M218" s="97"/>
      <c r="N218" s="97"/>
      <c r="O218" s="97"/>
      <c r="P218" s="97"/>
      <c r="Q218" s="97"/>
    </row>
    <row r="219" spans="2:17">
      <c r="B219" s="97"/>
      <c r="C219" s="97"/>
      <c r="D219" s="97"/>
      <c r="E219" s="97"/>
      <c r="F219" s="97"/>
      <c r="G219" s="97"/>
      <c r="H219" s="97"/>
      <c r="I219" s="97"/>
      <c r="J219" s="97"/>
      <c r="K219" s="97"/>
      <c r="L219" s="97"/>
      <c r="M219" s="97"/>
      <c r="N219" s="97"/>
      <c r="O219" s="97"/>
      <c r="P219" s="97"/>
      <c r="Q219" s="97"/>
    </row>
    <row r="220" spans="2:17">
      <c r="B220" s="97"/>
      <c r="C220" s="97"/>
      <c r="D220" s="97"/>
      <c r="E220" s="97"/>
      <c r="F220" s="97"/>
      <c r="G220" s="97"/>
      <c r="H220" s="97"/>
      <c r="I220" s="97"/>
      <c r="J220" s="97"/>
      <c r="K220" s="97"/>
      <c r="L220" s="97"/>
      <c r="M220" s="97"/>
      <c r="N220" s="97"/>
      <c r="O220" s="97"/>
      <c r="P220" s="97"/>
      <c r="Q220" s="97"/>
    </row>
    <row r="221" spans="2:17">
      <c r="B221" s="97"/>
      <c r="C221" s="97"/>
      <c r="D221" s="97"/>
      <c r="E221" s="97"/>
      <c r="F221" s="97"/>
      <c r="G221" s="97"/>
      <c r="H221" s="97"/>
      <c r="I221" s="97"/>
      <c r="J221" s="97"/>
      <c r="K221" s="97"/>
      <c r="L221" s="97"/>
      <c r="M221" s="97"/>
      <c r="N221" s="97"/>
      <c r="O221" s="97"/>
      <c r="P221" s="97"/>
      <c r="Q221" s="97"/>
    </row>
    <row r="222" spans="2:17">
      <c r="B222" s="97"/>
      <c r="C222" s="97"/>
      <c r="D222" s="97"/>
      <c r="E222" s="97"/>
      <c r="F222" s="97"/>
      <c r="G222" s="97"/>
      <c r="H222" s="97"/>
      <c r="I222" s="97"/>
      <c r="J222" s="97"/>
      <c r="K222" s="97"/>
      <c r="L222" s="97"/>
      <c r="M222" s="97"/>
      <c r="N222" s="97"/>
      <c r="O222" s="97"/>
      <c r="P222" s="97"/>
      <c r="Q222" s="97"/>
    </row>
    <row r="223" spans="2:17">
      <c r="B223" s="97"/>
      <c r="C223" s="97"/>
      <c r="D223" s="97"/>
      <c r="E223" s="97"/>
      <c r="F223" s="97"/>
      <c r="G223" s="97"/>
      <c r="H223" s="97"/>
      <c r="I223" s="97"/>
      <c r="J223" s="97"/>
      <c r="K223" s="97"/>
      <c r="L223" s="97"/>
      <c r="M223" s="97"/>
      <c r="N223" s="97"/>
      <c r="O223" s="97"/>
      <c r="P223" s="97"/>
      <c r="Q223" s="97"/>
    </row>
    <row r="224" spans="2:17">
      <c r="B224" s="97"/>
      <c r="C224" s="97"/>
      <c r="D224" s="97"/>
      <c r="E224" s="97"/>
      <c r="F224" s="97"/>
      <c r="G224" s="97"/>
      <c r="H224" s="97"/>
      <c r="I224" s="97"/>
      <c r="J224" s="97"/>
      <c r="K224" s="97"/>
      <c r="L224" s="97"/>
      <c r="M224" s="97"/>
      <c r="N224" s="97"/>
      <c r="O224" s="97"/>
      <c r="P224" s="97"/>
      <c r="Q224" s="97"/>
    </row>
    <row r="225" spans="2:17">
      <c r="B225" s="97"/>
      <c r="C225" s="97"/>
      <c r="D225" s="97"/>
      <c r="E225" s="97"/>
      <c r="F225" s="97"/>
      <c r="G225" s="97"/>
      <c r="H225" s="97"/>
      <c r="I225" s="97"/>
      <c r="J225" s="97"/>
      <c r="K225" s="97"/>
      <c r="L225" s="97"/>
      <c r="M225" s="97"/>
      <c r="N225" s="97"/>
      <c r="O225" s="97"/>
      <c r="P225" s="97"/>
      <c r="Q225" s="97"/>
    </row>
    <row r="226" spans="2:17">
      <c r="B226" s="97"/>
      <c r="C226" s="97"/>
      <c r="D226" s="97"/>
      <c r="E226" s="97"/>
      <c r="F226" s="97"/>
      <c r="G226" s="97"/>
      <c r="H226" s="97"/>
      <c r="I226" s="97"/>
      <c r="J226" s="97"/>
      <c r="K226" s="97"/>
      <c r="L226" s="97"/>
      <c r="M226" s="97"/>
      <c r="N226" s="97"/>
      <c r="O226" s="97"/>
      <c r="P226" s="97"/>
      <c r="Q226" s="97"/>
    </row>
    <row r="227" spans="2:17">
      <c r="B227" s="97"/>
      <c r="C227" s="97"/>
      <c r="D227" s="97"/>
      <c r="E227" s="97"/>
      <c r="F227" s="97"/>
      <c r="G227" s="97"/>
      <c r="H227" s="97"/>
      <c r="I227" s="97"/>
      <c r="J227" s="97"/>
      <c r="K227" s="97"/>
      <c r="L227" s="97"/>
      <c r="M227" s="97"/>
      <c r="N227" s="97"/>
      <c r="O227" s="97"/>
      <c r="P227" s="97"/>
      <c r="Q227" s="97"/>
    </row>
    <row r="228" spans="2:17">
      <c r="B228" s="97"/>
      <c r="C228" s="97"/>
      <c r="D228" s="97"/>
      <c r="E228" s="97"/>
      <c r="F228" s="97"/>
      <c r="G228" s="97"/>
      <c r="H228" s="97"/>
      <c r="I228" s="97"/>
      <c r="J228" s="97"/>
      <c r="K228" s="97"/>
      <c r="L228" s="97"/>
      <c r="M228" s="97"/>
      <c r="N228" s="97"/>
      <c r="O228" s="97"/>
      <c r="P228" s="97"/>
      <c r="Q228" s="97"/>
    </row>
    <row r="229" spans="2:17">
      <c r="B229" s="97"/>
      <c r="C229" s="97"/>
      <c r="D229" s="97"/>
      <c r="E229" s="97"/>
      <c r="F229" s="97"/>
      <c r="G229" s="97"/>
      <c r="H229" s="97"/>
      <c r="I229" s="97"/>
      <c r="J229" s="97"/>
      <c r="K229" s="97"/>
      <c r="L229" s="97"/>
      <c r="M229" s="97"/>
      <c r="N229" s="97"/>
      <c r="O229" s="97"/>
      <c r="P229" s="97"/>
      <c r="Q229" s="97"/>
    </row>
    <row r="230" spans="2:17">
      <c r="B230" s="97"/>
      <c r="C230" s="97"/>
      <c r="D230" s="97"/>
      <c r="E230" s="97"/>
      <c r="F230" s="97"/>
      <c r="G230" s="97"/>
      <c r="H230" s="97"/>
      <c r="I230" s="97"/>
      <c r="J230" s="97"/>
      <c r="K230" s="97"/>
      <c r="L230" s="97"/>
      <c r="M230" s="97"/>
      <c r="N230" s="97"/>
      <c r="O230" s="97"/>
      <c r="P230" s="97"/>
      <c r="Q230" s="97"/>
    </row>
    <row r="231" spans="2:17">
      <c r="B231" s="97"/>
      <c r="C231" s="97"/>
      <c r="D231" s="97"/>
      <c r="E231" s="97"/>
      <c r="F231" s="97"/>
      <c r="G231" s="97"/>
      <c r="H231" s="97"/>
      <c r="I231" s="97"/>
      <c r="J231" s="97"/>
      <c r="K231" s="97"/>
      <c r="L231" s="97"/>
      <c r="M231" s="97"/>
      <c r="N231" s="97"/>
      <c r="O231" s="97"/>
      <c r="P231" s="97"/>
      <c r="Q231" s="97"/>
    </row>
    <row r="232" spans="2:17">
      <c r="B232" s="97"/>
      <c r="C232" s="97"/>
      <c r="D232" s="97"/>
      <c r="E232" s="97"/>
      <c r="F232" s="97"/>
      <c r="G232" s="97"/>
      <c r="H232" s="97"/>
      <c r="I232" s="97"/>
      <c r="J232" s="97"/>
      <c r="K232" s="97"/>
      <c r="L232" s="97"/>
      <c r="M232" s="97"/>
      <c r="N232" s="97"/>
      <c r="O232" s="97"/>
      <c r="P232" s="97"/>
      <c r="Q232" s="97"/>
    </row>
    <row r="233" spans="2:17">
      <c r="B233" s="97"/>
      <c r="C233" s="97"/>
      <c r="D233" s="97"/>
      <c r="E233" s="97"/>
      <c r="F233" s="97"/>
      <c r="G233" s="97"/>
      <c r="H233" s="97"/>
      <c r="I233" s="97"/>
      <c r="J233" s="97"/>
      <c r="K233" s="97"/>
      <c r="L233" s="97"/>
      <c r="M233" s="97"/>
      <c r="N233" s="97"/>
      <c r="O233" s="97"/>
      <c r="P233" s="97"/>
      <c r="Q233" s="97"/>
    </row>
    <row r="234" spans="2:17">
      <c r="B234" s="97"/>
      <c r="C234" s="97"/>
      <c r="D234" s="97"/>
      <c r="E234" s="97"/>
      <c r="F234" s="97"/>
      <c r="G234" s="97"/>
      <c r="H234" s="97"/>
      <c r="I234" s="97"/>
      <c r="J234" s="97"/>
      <c r="K234" s="97"/>
      <c r="L234" s="97"/>
      <c r="M234" s="97"/>
      <c r="N234" s="97"/>
      <c r="O234" s="97"/>
      <c r="P234" s="97"/>
      <c r="Q234" s="97"/>
    </row>
    <row r="235" spans="2:17">
      <c r="B235" s="97"/>
      <c r="C235" s="97"/>
      <c r="D235" s="97"/>
      <c r="E235" s="97"/>
      <c r="F235" s="97"/>
      <c r="G235" s="97"/>
      <c r="H235" s="97"/>
      <c r="I235" s="97"/>
      <c r="J235" s="97"/>
      <c r="K235" s="97"/>
      <c r="L235" s="97"/>
      <c r="M235" s="97"/>
      <c r="N235" s="97"/>
      <c r="O235" s="97"/>
      <c r="P235" s="97"/>
      <c r="Q235" s="97"/>
    </row>
    <row r="236" spans="2:17">
      <c r="B236" s="97"/>
      <c r="C236" s="97"/>
      <c r="D236" s="97"/>
      <c r="E236" s="97"/>
      <c r="F236" s="97"/>
      <c r="G236" s="97"/>
      <c r="H236" s="97"/>
      <c r="I236" s="97"/>
      <c r="J236" s="97"/>
      <c r="K236" s="97"/>
      <c r="L236" s="97"/>
      <c r="M236" s="97"/>
      <c r="N236" s="97"/>
      <c r="O236" s="97"/>
      <c r="P236" s="97"/>
      <c r="Q236" s="97"/>
    </row>
    <row r="237" spans="2:17">
      <c r="B237" s="97"/>
      <c r="C237" s="97"/>
      <c r="D237" s="97"/>
      <c r="E237" s="97"/>
      <c r="F237" s="97"/>
      <c r="G237" s="97"/>
      <c r="H237" s="97"/>
      <c r="I237" s="97"/>
      <c r="J237" s="97"/>
      <c r="K237" s="97"/>
      <c r="L237" s="97"/>
      <c r="M237" s="97"/>
      <c r="N237" s="97"/>
      <c r="O237" s="97"/>
      <c r="P237" s="97"/>
      <c r="Q237" s="97"/>
    </row>
    <row r="238" spans="2:17">
      <c r="B238" s="97"/>
      <c r="C238" s="97"/>
      <c r="D238" s="97"/>
      <c r="E238" s="97"/>
      <c r="F238" s="97"/>
      <c r="G238" s="97"/>
      <c r="H238" s="97"/>
      <c r="I238" s="97"/>
      <c r="J238" s="97"/>
      <c r="K238" s="97"/>
      <c r="L238" s="97"/>
      <c r="M238" s="97"/>
      <c r="N238" s="97"/>
      <c r="O238" s="97"/>
      <c r="P238" s="97"/>
      <c r="Q238" s="97"/>
    </row>
    <row r="239" spans="2:17">
      <c r="B239" s="97"/>
      <c r="C239" s="97"/>
      <c r="D239" s="97"/>
      <c r="E239" s="97"/>
      <c r="F239" s="97"/>
      <c r="G239" s="97"/>
      <c r="H239" s="97"/>
      <c r="I239" s="97"/>
      <c r="J239" s="97"/>
      <c r="K239" s="97"/>
      <c r="L239" s="97"/>
      <c r="M239" s="97"/>
      <c r="N239" s="97"/>
      <c r="O239" s="97"/>
      <c r="P239" s="97"/>
      <c r="Q239" s="97"/>
    </row>
    <row r="240" spans="2:17">
      <c r="B240" s="97"/>
      <c r="C240" s="97"/>
      <c r="D240" s="97"/>
      <c r="E240" s="97"/>
      <c r="F240" s="97"/>
      <c r="G240" s="97"/>
      <c r="H240" s="97"/>
      <c r="I240" s="97"/>
      <c r="J240" s="97"/>
      <c r="K240" s="97"/>
      <c r="L240" s="97"/>
      <c r="M240" s="97"/>
      <c r="N240" s="97"/>
      <c r="O240" s="97"/>
      <c r="P240" s="97"/>
      <c r="Q240" s="97"/>
    </row>
    <row r="241" spans="2:17">
      <c r="B241" s="97"/>
      <c r="C241" s="97"/>
      <c r="D241" s="97"/>
      <c r="E241" s="97"/>
      <c r="F241" s="97"/>
      <c r="G241" s="97"/>
      <c r="H241" s="97"/>
      <c r="I241" s="97"/>
      <c r="J241" s="97"/>
      <c r="K241" s="97"/>
      <c r="L241" s="97"/>
      <c r="M241" s="97"/>
      <c r="N241" s="97"/>
      <c r="O241" s="97"/>
      <c r="P241" s="97"/>
      <c r="Q241" s="97"/>
    </row>
    <row r="242" spans="2:17">
      <c r="B242" s="97"/>
      <c r="C242" s="97"/>
      <c r="D242" s="97"/>
      <c r="E242" s="97"/>
      <c r="F242" s="97"/>
      <c r="G242" s="97"/>
      <c r="H242" s="97"/>
      <c r="I242" s="97"/>
      <c r="J242" s="97"/>
      <c r="K242" s="97"/>
      <c r="L242" s="97"/>
      <c r="M242" s="97"/>
      <c r="N242" s="97"/>
      <c r="O242" s="97"/>
      <c r="P242" s="97"/>
      <c r="Q242" s="97"/>
    </row>
    <row r="243" spans="2:17">
      <c r="B243" s="97"/>
      <c r="C243" s="97"/>
      <c r="D243" s="97"/>
      <c r="E243" s="97"/>
      <c r="F243" s="97"/>
      <c r="G243" s="97"/>
      <c r="H243" s="97"/>
      <c r="I243" s="97"/>
      <c r="J243" s="97"/>
      <c r="K243" s="97"/>
      <c r="L243" s="97"/>
      <c r="M243" s="97"/>
      <c r="N243" s="97"/>
      <c r="O243" s="97"/>
      <c r="P243" s="97"/>
      <c r="Q243" s="97"/>
    </row>
    <row r="244" spans="2:17">
      <c r="B244" s="97"/>
      <c r="C244" s="97"/>
      <c r="D244" s="97"/>
      <c r="E244" s="97"/>
      <c r="F244" s="97"/>
      <c r="G244" s="97"/>
      <c r="H244" s="97"/>
      <c r="I244" s="97"/>
      <c r="J244" s="97"/>
      <c r="K244" s="97"/>
      <c r="L244" s="97"/>
      <c r="M244" s="97"/>
      <c r="N244" s="97"/>
      <c r="O244" s="97"/>
      <c r="P244" s="97"/>
      <c r="Q244" s="97"/>
    </row>
    <row r="245" spans="2:17">
      <c r="B245" s="97"/>
      <c r="C245" s="97"/>
      <c r="D245" s="97"/>
      <c r="E245" s="97"/>
      <c r="F245" s="97"/>
      <c r="G245" s="97"/>
      <c r="H245" s="97"/>
      <c r="I245" s="97"/>
      <c r="J245" s="97"/>
      <c r="K245" s="97"/>
      <c r="L245" s="97"/>
      <c r="M245" s="97"/>
      <c r="N245" s="97"/>
      <c r="O245" s="97"/>
      <c r="P245" s="97"/>
      <c r="Q245" s="97"/>
    </row>
    <row r="246" spans="2:17">
      <c r="B246" s="97"/>
      <c r="C246" s="97"/>
      <c r="D246" s="97"/>
      <c r="E246" s="97"/>
      <c r="F246" s="97"/>
      <c r="G246" s="97"/>
      <c r="H246" s="97"/>
      <c r="I246" s="97"/>
      <c r="J246" s="97"/>
      <c r="K246" s="97"/>
      <c r="L246" s="97"/>
      <c r="M246" s="97"/>
      <c r="N246" s="97"/>
      <c r="O246" s="97"/>
      <c r="P246" s="97"/>
      <c r="Q246" s="97"/>
    </row>
    <row r="247" spans="2:17">
      <c r="B247" s="97"/>
      <c r="C247" s="97"/>
      <c r="D247" s="97"/>
      <c r="E247" s="97"/>
      <c r="F247" s="97"/>
      <c r="G247" s="97"/>
      <c r="H247" s="97"/>
      <c r="I247" s="97"/>
      <c r="J247" s="97"/>
      <c r="K247" s="97"/>
      <c r="L247" s="97"/>
      <c r="M247" s="97"/>
      <c r="N247" s="97"/>
      <c r="O247" s="97"/>
      <c r="P247" s="97"/>
      <c r="Q247" s="97"/>
    </row>
    <row r="248" spans="2:17">
      <c r="B248" s="97"/>
      <c r="C248" s="97"/>
      <c r="D248" s="97"/>
      <c r="E248" s="97"/>
      <c r="F248" s="97"/>
      <c r="G248" s="97"/>
      <c r="H248" s="97"/>
      <c r="I248" s="97"/>
      <c r="J248" s="97"/>
      <c r="K248" s="97"/>
      <c r="L248" s="97"/>
      <c r="M248" s="97"/>
      <c r="N248" s="97"/>
      <c r="O248" s="97"/>
      <c r="P248" s="97"/>
      <c r="Q248" s="97"/>
    </row>
    <row r="249" spans="2:17">
      <c r="B249" s="97"/>
      <c r="C249" s="97"/>
      <c r="D249" s="97"/>
      <c r="E249" s="97"/>
      <c r="F249" s="97"/>
      <c r="G249" s="97"/>
      <c r="H249" s="97"/>
      <c r="I249" s="97"/>
      <c r="J249" s="97"/>
      <c r="K249" s="97"/>
      <c r="L249" s="97"/>
      <c r="M249" s="97"/>
      <c r="N249" s="97"/>
      <c r="O249" s="97"/>
      <c r="P249" s="97"/>
      <c r="Q249" s="97"/>
    </row>
    <row r="250" spans="2:17">
      <c r="B250" s="97"/>
      <c r="C250" s="97"/>
      <c r="D250" s="97"/>
      <c r="E250" s="97"/>
      <c r="F250" s="97"/>
      <c r="G250" s="97"/>
      <c r="H250" s="97"/>
      <c r="I250" s="97"/>
      <c r="J250" s="97"/>
      <c r="K250" s="97"/>
      <c r="L250" s="97"/>
      <c r="M250" s="97"/>
      <c r="N250" s="97"/>
      <c r="O250" s="97"/>
      <c r="P250" s="97"/>
      <c r="Q250" s="97"/>
    </row>
    <row r="251" spans="2:17">
      <c r="B251" s="97"/>
      <c r="C251" s="97"/>
      <c r="D251" s="97"/>
      <c r="E251" s="97"/>
      <c r="F251" s="97"/>
      <c r="G251" s="97"/>
      <c r="H251" s="97"/>
      <c r="I251" s="97"/>
      <c r="J251" s="97"/>
      <c r="K251" s="97"/>
      <c r="L251" s="97"/>
      <c r="M251" s="97"/>
      <c r="N251" s="97"/>
      <c r="O251" s="97"/>
      <c r="P251" s="97"/>
      <c r="Q251" s="97"/>
    </row>
    <row r="252" spans="2:17">
      <c r="B252" s="97"/>
      <c r="C252" s="97"/>
      <c r="D252" s="97"/>
      <c r="E252" s="97"/>
      <c r="F252" s="97"/>
      <c r="G252" s="97"/>
      <c r="H252" s="97"/>
      <c r="I252" s="97"/>
      <c r="J252" s="97"/>
      <c r="K252" s="97"/>
      <c r="L252" s="97"/>
      <c r="M252" s="97"/>
      <c r="N252" s="97"/>
      <c r="O252" s="97"/>
      <c r="P252" s="97"/>
      <c r="Q252" s="97"/>
    </row>
    <row r="253" spans="2:17">
      <c r="B253" s="97"/>
      <c r="C253" s="97"/>
      <c r="D253" s="97"/>
      <c r="E253" s="97"/>
      <c r="F253" s="97"/>
      <c r="G253" s="97"/>
      <c r="H253" s="97"/>
      <c r="I253" s="97"/>
      <c r="J253" s="97"/>
      <c r="K253" s="97"/>
      <c r="L253" s="97"/>
      <c r="M253" s="97"/>
      <c r="N253" s="97"/>
      <c r="O253" s="97"/>
      <c r="P253" s="97"/>
      <c r="Q253" s="97"/>
    </row>
    <row r="254" spans="2:17">
      <c r="B254" s="97"/>
      <c r="C254" s="97"/>
      <c r="D254" s="97"/>
      <c r="E254" s="97"/>
      <c r="F254" s="97"/>
      <c r="G254" s="97"/>
      <c r="H254" s="97"/>
      <c r="I254" s="97"/>
      <c r="J254" s="97"/>
      <c r="K254" s="97"/>
      <c r="L254" s="97"/>
      <c r="M254" s="97"/>
      <c r="N254" s="97"/>
      <c r="O254" s="97"/>
      <c r="P254" s="97"/>
      <c r="Q254" s="97"/>
    </row>
    <row r="255" spans="2:17">
      <c r="B255" s="97"/>
      <c r="C255" s="97"/>
      <c r="D255" s="97"/>
      <c r="E255" s="97"/>
      <c r="F255" s="97"/>
      <c r="G255" s="97"/>
      <c r="H255" s="97"/>
      <c r="I255" s="97"/>
      <c r="J255" s="97"/>
      <c r="K255" s="97"/>
      <c r="L255" s="97"/>
      <c r="M255" s="97"/>
      <c r="N255" s="97"/>
      <c r="O255" s="97"/>
      <c r="P255" s="97"/>
      <c r="Q255" s="97"/>
    </row>
    <row r="256" spans="2:17">
      <c r="B256" s="97"/>
      <c r="C256" s="97"/>
      <c r="D256" s="97"/>
      <c r="E256" s="97"/>
      <c r="F256" s="97"/>
      <c r="G256" s="97"/>
      <c r="H256" s="97"/>
      <c r="I256" s="97"/>
      <c r="J256" s="97"/>
      <c r="K256" s="97"/>
      <c r="L256" s="97"/>
      <c r="M256" s="97"/>
      <c r="N256" s="97"/>
      <c r="O256" s="97"/>
      <c r="P256" s="97"/>
      <c r="Q256" s="97"/>
    </row>
    <row r="257" spans="2:17">
      <c r="B257" s="97"/>
      <c r="C257" s="97"/>
      <c r="D257" s="97"/>
      <c r="E257" s="97"/>
      <c r="F257" s="97"/>
      <c r="G257" s="97"/>
      <c r="H257" s="97"/>
      <c r="I257" s="97"/>
      <c r="J257" s="97"/>
      <c r="K257" s="97"/>
      <c r="L257" s="97"/>
      <c r="M257" s="97"/>
      <c r="N257" s="97"/>
      <c r="O257" s="97"/>
      <c r="P257" s="97"/>
      <c r="Q257" s="97"/>
    </row>
    <row r="258" spans="2:17">
      <c r="B258" s="97"/>
      <c r="C258" s="97"/>
      <c r="D258" s="97"/>
      <c r="E258" s="97"/>
      <c r="F258" s="97"/>
      <c r="G258" s="97"/>
      <c r="H258" s="97"/>
      <c r="I258" s="97"/>
      <c r="J258" s="97"/>
      <c r="K258" s="97"/>
      <c r="L258" s="97"/>
      <c r="M258" s="97"/>
      <c r="N258" s="97"/>
      <c r="O258" s="97"/>
      <c r="P258" s="97"/>
      <c r="Q258" s="97"/>
    </row>
    <row r="259" spans="2:17">
      <c r="B259" s="97"/>
      <c r="C259" s="97"/>
      <c r="D259" s="97"/>
      <c r="E259" s="97"/>
      <c r="F259" s="97"/>
      <c r="G259" s="97"/>
      <c r="H259" s="97"/>
      <c r="I259" s="97"/>
      <c r="J259" s="97"/>
      <c r="K259" s="97"/>
      <c r="L259" s="97"/>
      <c r="M259" s="97"/>
      <c r="N259" s="97"/>
      <c r="O259" s="97"/>
      <c r="P259" s="97"/>
      <c r="Q259" s="97"/>
    </row>
    <row r="260" spans="2:17">
      <c r="B260" s="97"/>
      <c r="C260" s="97"/>
      <c r="D260" s="97"/>
      <c r="E260" s="97"/>
      <c r="F260" s="97"/>
      <c r="G260" s="97"/>
      <c r="H260" s="97"/>
      <c r="I260" s="97"/>
      <c r="J260" s="97"/>
      <c r="K260" s="97"/>
      <c r="L260" s="97"/>
      <c r="M260" s="97"/>
      <c r="N260" s="97"/>
      <c r="O260" s="97"/>
      <c r="P260" s="97"/>
      <c r="Q260" s="97"/>
    </row>
    <row r="261" spans="2:17">
      <c r="B261" s="97"/>
      <c r="C261" s="97"/>
      <c r="D261" s="97"/>
      <c r="E261" s="97"/>
      <c r="F261" s="97"/>
      <c r="G261" s="97"/>
      <c r="H261" s="97"/>
      <c r="I261" s="97"/>
      <c r="J261" s="97"/>
      <c r="K261" s="97"/>
      <c r="L261" s="97"/>
      <c r="M261" s="97"/>
      <c r="N261" s="97"/>
      <c r="O261" s="97"/>
      <c r="P261" s="97"/>
      <c r="Q261" s="97"/>
    </row>
    <row r="262" spans="2:17">
      <c r="B262" s="97"/>
      <c r="C262" s="97"/>
      <c r="D262" s="97"/>
      <c r="E262" s="97"/>
      <c r="F262" s="97"/>
      <c r="G262" s="97"/>
      <c r="H262" s="97"/>
      <c r="I262" s="97"/>
      <c r="J262" s="97"/>
      <c r="K262" s="97"/>
      <c r="L262" s="97"/>
      <c r="M262" s="97"/>
      <c r="N262" s="97"/>
      <c r="O262" s="97"/>
      <c r="P262" s="97"/>
      <c r="Q262" s="97"/>
    </row>
    <row r="263" spans="2:17">
      <c r="B263" s="97"/>
      <c r="C263" s="97"/>
      <c r="D263" s="97"/>
      <c r="E263" s="97"/>
      <c r="F263" s="97"/>
      <c r="G263" s="97"/>
      <c r="H263" s="97"/>
      <c r="I263" s="97"/>
      <c r="J263" s="97"/>
      <c r="K263" s="97"/>
      <c r="L263" s="97"/>
      <c r="M263" s="97"/>
      <c r="N263" s="97"/>
      <c r="O263" s="97"/>
      <c r="P263" s="97"/>
      <c r="Q263" s="97"/>
    </row>
    <row r="264" spans="2:17">
      <c r="B264" s="97"/>
      <c r="C264" s="97"/>
      <c r="D264" s="97"/>
      <c r="E264" s="97"/>
      <c r="F264" s="97"/>
      <c r="G264" s="97"/>
      <c r="H264" s="97"/>
      <c r="I264" s="97"/>
      <c r="J264" s="97"/>
      <c r="K264" s="97"/>
      <c r="L264" s="97"/>
      <c r="M264" s="97"/>
      <c r="N264" s="97"/>
      <c r="O264" s="97"/>
      <c r="P264" s="97"/>
      <c r="Q264" s="97"/>
    </row>
    <row r="265" spans="2:17">
      <c r="B265" s="97"/>
      <c r="C265" s="97"/>
      <c r="D265" s="97"/>
      <c r="E265" s="97"/>
      <c r="F265" s="97"/>
      <c r="G265" s="97"/>
      <c r="H265" s="97"/>
      <c r="I265" s="97"/>
      <c r="J265" s="97"/>
      <c r="K265" s="97"/>
      <c r="L265" s="97"/>
      <c r="M265" s="97"/>
      <c r="N265" s="97"/>
      <c r="O265" s="97"/>
      <c r="P265" s="97"/>
      <c r="Q265" s="97"/>
    </row>
    <row r="266" spans="2:17">
      <c r="B266" s="97"/>
      <c r="C266" s="97"/>
      <c r="D266" s="97"/>
      <c r="E266" s="97"/>
      <c r="F266" s="97"/>
      <c r="G266" s="97"/>
      <c r="H266" s="97"/>
      <c r="I266" s="97"/>
      <c r="J266" s="97"/>
      <c r="K266" s="97"/>
      <c r="L266" s="97"/>
      <c r="M266" s="97"/>
      <c r="N266" s="97"/>
      <c r="O266" s="97"/>
      <c r="P266" s="97"/>
      <c r="Q266" s="97"/>
    </row>
    <row r="267" spans="2:17">
      <c r="B267" s="97"/>
      <c r="C267" s="97"/>
      <c r="D267" s="97"/>
      <c r="E267" s="97"/>
      <c r="F267" s="97"/>
      <c r="G267" s="97"/>
      <c r="H267" s="97"/>
      <c r="I267" s="97"/>
      <c r="J267" s="97"/>
      <c r="K267" s="97"/>
      <c r="L267" s="97"/>
      <c r="M267" s="97"/>
      <c r="N267" s="97"/>
      <c r="O267" s="97"/>
      <c r="P267" s="97"/>
      <c r="Q267" s="97"/>
    </row>
    <row r="268" spans="2:17">
      <c r="B268" s="97"/>
      <c r="C268" s="97"/>
      <c r="D268" s="97"/>
      <c r="E268" s="97"/>
      <c r="F268" s="97"/>
      <c r="G268" s="97"/>
      <c r="H268" s="97"/>
      <c r="I268" s="97"/>
      <c r="J268" s="97"/>
      <c r="K268" s="97"/>
      <c r="L268" s="97"/>
      <c r="M268" s="97"/>
      <c r="N268" s="97"/>
      <c r="O268" s="97"/>
      <c r="P268" s="97"/>
      <c r="Q268" s="97"/>
    </row>
    <row r="269" spans="2:17">
      <c r="B269" s="97"/>
      <c r="C269" s="97"/>
      <c r="D269" s="97"/>
      <c r="E269" s="97"/>
      <c r="F269" s="97"/>
      <c r="G269" s="97"/>
      <c r="H269" s="97"/>
      <c r="I269" s="97"/>
      <c r="J269" s="97"/>
      <c r="K269" s="97"/>
      <c r="L269" s="97"/>
      <c r="M269" s="97"/>
      <c r="N269" s="97"/>
      <c r="O269" s="97"/>
      <c r="P269" s="97"/>
      <c r="Q269" s="97"/>
    </row>
    <row r="270" spans="2:17">
      <c r="B270" s="97"/>
      <c r="C270" s="97"/>
      <c r="D270" s="97"/>
      <c r="E270" s="97"/>
      <c r="F270" s="97"/>
      <c r="G270" s="97"/>
      <c r="H270" s="97"/>
      <c r="I270" s="97"/>
      <c r="J270" s="97"/>
      <c r="K270" s="97"/>
      <c r="L270" s="97"/>
      <c r="M270" s="97"/>
      <c r="N270" s="97"/>
      <c r="O270" s="97"/>
      <c r="P270" s="97"/>
      <c r="Q270" s="97"/>
    </row>
    <row r="271" spans="2:17">
      <c r="B271" s="97"/>
      <c r="C271" s="97"/>
      <c r="D271" s="97"/>
      <c r="E271" s="97"/>
      <c r="F271" s="97"/>
      <c r="G271" s="97"/>
      <c r="H271" s="97"/>
      <c r="I271" s="97"/>
      <c r="J271" s="97"/>
      <c r="K271" s="97"/>
      <c r="L271" s="97"/>
      <c r="M271" s="97"/>
      <c r="N271" s="97"/>
      <c r="O271" s="97"/>
      <c r="P271" s="97"/>
      <c r="Q271" s="97"/>
    </row>
    <row r="272" spans="2:17">
      <c r="B272" s="97"/>
      <c r="C272" s="97"/>
      <c r="D272" s="97"/>
      <c r="E272" s="97"/>
      <c r="F272" s="97"/>
      <c r="G272" s="97"/>
      <c r="H272" s="97"/>
      <c r="I272" s="97"/>
      <c r="J272" s="97"/>
      <c r="K272" s="97"/>
      <c r="L272" s="97"/>
      <c r="M272" s="97"/>
      <c r="N272" s="97"/>
      <c r="O272" s="97"/>
      <c r="P272" s="97"/>
      <c r="Q272" s="97"/>
    </row>
    <row r="273" spans="2:17">
      <c r="B273" s="97"/>
      <c r="C273" s="97"/>
      <c r="D273" s="97"/>
      <c r="E273" s="97"/>
      <c r="F273" s="97"/>
      <c r="G273" s="97"/>
      <c r="H273" s="97"/>
      <c r="I273" s="97"/>
      <c r="J273" s="97"/>
      <c r="K273" s="97"/>
      <c r="L273" s="97"/>
      <c r="M273" s="97"/>
      <c r="N273" s="97"/>
      <c r="O273" s="97"/>
      <c r="P273" s="97"/>
      <c r="Q273" s="97"/>
    </row>
    <row r="274" spans="2:17">
      <c r="B274" s="97"/>
      <c r="C274" s="97"/>
      <c r="D274" s="97"/>
      <c r="E274" s="97"/>
      <c r="F274" s="97"/>
      <c r="G274" s="97"/>
      <c r="H274" s="97"/>
      <c r="I274" s="97"/>
      <c r="J274" s="97"/>
      <c r="K274" s="97"/>
      <c r="L274" s="97"/>
      <c r="M274" s="97"/>
      <c r="N274" s="97"/>
      <c r="O274" s="97"/>
      <c r="P274" s="97"/>
      <c r="Q274" s="97"/>
    </row>
    <row r="275" spans="2:17">
      <c r="B275" s="97"/>
      <c r="C275" s="97"/>
      <c r="D275" s="97"/>
      <c r="E275" s="97"/>
      <c r="F275" s="97"/>
      <c r="G275" s="97"/>
      <c r="H275" s="97"/>
      <c r="I275" s="97"/>
      <c r="J275" s="97"/>
      <c r="K275" s="97"/>
      <c r="L275" s="97"/>
      <c r="M275" s="97"/>
      <c r="N275" s="97"/>
      <c r="O275" s="97"/>
      <c r="P275" s="97"/>
      <c r="Q275" s="97"/>
    </row>
    <row r="276" spans="2:17">
      <c r="B276" s="97"/>
      <c r="C276" s="97"/>
      <c r="D276" s="97"/>
      <c r="E276" s="97"/>
      <c r="F276" s="97"/>
      <c r="G276" s="97"/>
      <c r="H276" s="97"/>
      <c r="I276" s="97"/>
      <c r="J276" s="97"/>
      <c r="K276" s="97"/>
      <c r="L276" s="97"/>
      <c r="M276" s="97"/>
      <c r="N276" s="97"/>
      <c r="O276" s="97"/>
      <c r="P276" s="97"/>
      <c r="Q276" s="97"/>
    </row>
    <row r="277" spans="2:17">
      <c r="B277" s="97"/>
      <c r="C277" s="97"/>
      <c r="D277" s="97"/>
      <c r="E277" s="97"/>
      <c r="F277" s="97"/>
      <c r="G277" s="97"/>
      <c r="H277" s="97"/>
      <c r="I277" s="97"/>
      <c r="J277" s="97"/>
      <c r="K277" s="97"/>
      <c r="L277" s="97"/>
      <c r="M277" s="97"/>
      <c r="N277" s="97"/>
      <c r="O277" s="97"/>
      <c r="P277" s="97"/>
      <c r="Q277" s="97"/>
    </row>
    <row r="278" spans="2:17">
      <c r="B278" s="97"/>
      <c r="C278" s="97"/>
      <c r="D278" s="97"/>
      <c r="E278" s="97"/>
      <c r="F278" s="97"/>
      <c r="G278" s="97"/>
      <c r="H278" s="97"/>
      <c r="I278" s="97"/>
      <c r="J278" s="97"/>
      <c r="K278" s="97"/>
      <c r="L278" s="97"/>
      <c r="M278" s="97"/>
      <c r="N278" s="97"/>
      <c r="O278" s="97"/>
      <c r="P278" s="97"/>
      <c r="Q278" s="97"/>
    </row>
    <row r="279" spans="2:17">
      <c r="B279" s="97"/>
      <c r="C279" s="97"/>
      <c r="D279" s="97"/>
      <c r="E279" s="97"/>
      <c r="F279" s="97"/>
      <c r="G279" s="97"/>
      <c r="H279" s="97"/>
      <c r="I279" s="97"/>
      <c r="J279" s="97"/>
      <c r="K279" s="97"/>
      <c r="L279" s="97"/>
      <c r="M279" s="97"/>
      <c r="N279" s="97"/>
      <c r="O279" s="97"/>
      <c r="P279" s="97"/>
      <c r="Q279" s="97"/>
    </row>
    <row r="280" spans="2:17">
      <c r="B280" s="97"/>
      <c r="C280" s="97"/>
      <c r="D280" s="97"/>
      <c r="E280" s="97"/>
      <c r="F280" s="97"/>
      <c r="G280" s="97"/>
      <c r="H280" s="97"/>
      <c r="I280" s="97"/>
      <c r="J280" s="97"/>
      <c r="K280" s="97"/>
      <c r="L280" s="97"/>
      <c r="M280" s="97"/>
      <c r="N280" s="97"/>
      <c r="O280" s="97"/>
      <c r="P280" s="97"/>
      <c r="Q280" s="97"/>
    </row>
    <row r="281" spans="2:17">
      <c r="B281" s="97"/>
      <c r="C281" s="97"/>
      <c r="D281" s="97"/>
      <c r="E281" s="97"/>
      <c r="F281" s="97"/>
      <c r="G281" s="97"/>
      <c r="H281" s="97"/>
      <c r="I281" s="97"/>
      <c r="J281" s="97"/>
      <c r="K281" s="97"/>
      <c r="L281" s="97"/>
      <c r="M281" s="97"/>
      <c r="N281" s="97"/>
      <c r="O281" s="97"/>
      <c r="P281" s="97"/>
      <c r="Q281" s="97"/>
    </row>
    <row r="282" spans="2:17">
      <c r="B282" s="97"/>
      <c r="C282" s="97"/>
      <c r="D282" s="97"/>
      <c r="E282" s="97"/>
      <c r="F282" s="97"/>
      <c r="G282" s="97"/>
      <c r="H282" s="97"/>
      <c r="I282" s="97"/>
      <c r="J282" s="97"/>
      <c r="K282" s="97"/>
      <c r="L282" s="97"/>
      <c r="M282" s="97"/>
      <c r="N282" s="97"/>
      <c r="O282" s="97"/>
      <c r="P282" s="97"/>
      <c r="Q282" s="97"/>
    </row>
    <row r="283" spans="2:17">
      <c r="B283" s="97"/>
      <c r="C283" s="97"/>
      <c r="D283" s="97"/>
      <c r="E283" s="97"/>
      <c r="F283" s="97"/>
      <c r="G283" s="97"/>
      <c r="H283" s="97"/>
      <c r="I283" s="97"/>
      <c r="J283" s="97"/>
      <c r="K283" s="97"/>
      <c r="L283" s="97"/>
      <c r="M283" s="97"/>
      <c r="N283" s="97"/>
      <c r="O283" s="97"/>
      <c r="P283" s="97"/>
      <c r="Q283" s="97"/>
    </row>
    <row r="284" spans="2:17">
      <c r="B284" s="97"/>
      <c r="C284" s="97"/>
      <c r="D284" s="97"/>
      <c r="E284" s="97"/>
      <c r="F284" s="97"/>
      <c r="G284" s="97"/>
      <c r="H284" s="97"/>
      <c r="I284" s="97"/>
      <c r="J284" s="97"/>
      <c r="K284" s="97"/>
      <c r="L284" s="97"/>
      <c r="M284" s="97"/>
      <c r="N284" s="97"/>
      <c r="O284" s="97"/>
      <c r="P284" s="97"/>
      <c r="Q284" s="97"/>
    </row>
    <row r="285" spans="2:17">
      <c r="B285" s="97"/>
      <c r="C285" s="97"/>
      <c r="D285" s="97"/>
      <c r="E285" s="97"/>
      <c r="F285" s="97"/>
      <c r="G285" s="97"/>
      <c r="H285" s="97"/>
      <c r="I285" s="97"/>
      <c r="J285" s="97"/>
      <c r="K285" s="97"/>
      <c r="L285" s="97"/>
      <c r="M285" s="97"/>
      <c r="N285" s="97"/>
      <c r="O285" s="97"/>
      <c r="P285" s="97"/>
      <c r="Q285" s="97"/>
    </row>
    <row r="286" spans="2:17">
      <c r="B286" s="97"/>
      <c r="C286" s="97"/>
      <c r="D286" s="97"/>
      <c r="E286" s="97"/>
      <c r="F286" s="97"/>
      <c r="G286" s="97"/>
      <c r="H286" s="97"/>
      <c r="I286" s="97"/>
      <c r="J286" s="97"/>
      <c r="K286" s="97"/>
      <c r="L286" s="97"/>
      <c r="M286" s="97"/>
      <c r="N286" s="97"/>
      <c r="O286" s="97"/>
      <c r="P286" s="97"/>
      <c r="Q286" s="97"/>
    </row>
    <row r="287" spans="2:17">
      <c r="B287" s="97"/>
      <c r="C287" s="97"/>
      <c r="D287" s="97"/>
      <c r="E287" s="97"/>
      <c r="F287" s="97"/>
      <c r="G287" s="97"/>
      <c r="H287" s="97"/>
      <c r="I287" s="97"/>
      <c r="J287" s="97"/>
      <c r="K287" s="97"/>
      <c r="L287" s="97"/>
      <c r="M287" s="97"/>
      <c r="N287" s="97"/>
      <c r="O287" s="97"/>
      <c r="P287" s="97"/>
      <c r="Q287" s="97"/>
    </row>
    <row r="288" spans="2:17">
      <c r="B288" s="97"/>
      <c r="C288" s="97"/>
      <c r="D288" s="97"/>
      <c r="E288" s="97"/>
      <c r="F288" s="97"/>
      <c r="G288" s="97"/>
      <c r="H288" s="97"/>
      <c r="I288" s="97"/>
      <c r="J288" s="97"/>
      <c r="K288" s="97"/>
      <c r="L288" s="97"/>
      <c r="M288" s="97"/>
      <c r="N288" s="97"/>
      <c r="O288" s="97"/>
      <c r="P288" s="97"/>
      <c r="Q288" s="97"/>
    </row>
    <row r="289" spans="2:17">
      <c r="B289" s="97"/>
      <c r="C289" s="97"/>
      <c r="D289" s="97"/>
      <c r="E289" s="97"/>
      <c r="F289" s="97"/>
      <c r="G289" s="97"/>
      <c r="H289" s="97"/>
      <c r="I289" s="97"/>
      <c r="J289" s="97"/>
      <c r="K289" s="97"/>
      <c r="L289" s="97"/>
      <c r="M289" s="97"/>
      <c r="N289" s="97"/>
      <c r="O289" s="97"/>
      <c r="P289" s="97"/>
      <c r="Q289" s="97"/>
    </row>
    <row r="290" spans="2:17">
      <c r="B290" s="97"/>
      <c r="C290" s="97"/>
      <c r="D290" s="97"/>
      <c r="E290" s="97"/>
      <c r="F290" s="97"/>
      <c r="G290" s="97"/>
      <c r="H290" s="97"/>
      <c r="I290" s="97"/>
      <c r="J290" s="97"/>
      <c r="K290" s="97"/>
      <c r="L290" s="97"/>
      <c r="M290" s="97"/>
      <c r="N290" s="97"/>
      <c r="O290" s="97"/>
      <c r="P290" s="97"/>
      <c r="Q290" s="97"/>
    </row>
    <row r="291" spans="2:17">
      <c r="B291" s="97"/>
      <c r="C291" s="97"/>
      <c r="D291" s="97"/>
      <c r="E291" s="97"/>
      <c r="F291" s="97"/>
      <c r="G291" s="97"/>
      <c r="H291" s="97"/>
      <c r="I291" s="97"/>
      <c r="J291" s="97"/>
      <c r="K291" s="97"/>
      <c r="L291" s="97"/>
      <c r="M291" s="97"/>
      <c r="N291" s="97"/>
      <c r="O291" s="97"/>
      <c r="P291" s="97"/>
      <c r="Q291" s="97"/>
    </row>
    <row r="292" spans="2:17">
      <c r="B292" s="97"/>
      <c r="C292" s="97"/>
      <c r="D292" s="97"/>
      <c r="E292" s="97"/>
      <c r="F292" s="97"/>
      <c r="G292" s="97"/>
      <c r="H292" s="97"/>
      <c r="I292" s="97"/>
      <c r="J292" s="97"/>
      <c r="K292" s="97"/>
      <c r="L292" s="97"/>
      <c r="M292" s="97"/>
      <c r="N292" s="97"/>
      <c r="O292" s="97"/>
      <c r="P292" s="97"/>
      <c r="Q292" s="97"/>
    </row>
    <row r="293" spans="2:17">
      <c r="B293" s="97"/>
      <c r="C293" s="97"/>
      <c r="D293" s="97"/>
      <c r="E293" s="97"/>
      <c r="F293" s="97"/>
      <c r="G293" s="97"/>
      <c r="H293" s="97"/>
      <c r="I293" s="97"/>
      <c r="J293" s="97"/>
      <c r="K293" s="97"/>
      <c r="L293" s="97"/>
      <c r="M293" s="97"/>
      <c r="N293" s="97"/>
      <c r="O293" s="97"/>
      <c r="P293" s="97"/>
      <c r="Q293" s="97"/>
    </row>
    <row r="294" spans="2:17">
      <c r="B294" s="97"/>
      <c r="C294" s="97"/>
      <c r="D294" s="97"/>
      <c r="E294" s="97"/>
      <c r="F294" s="97"/>
      <c r="G294" s="97"/>
      <c r="H294" s="97"/>
      <c r="I294" s="97"/>
      <c r="J294" s="97"/>
      <c r="K294" s="97"/>
      <c r="L294" s="97"/>
      <c r="M294" s="97"/>
      <c r="N294" s="97"/>
      <c r="O294" s="97"/>
      <c r="P294" s="97"/>
      <c r="Q294" s="97"/>
    </row>
    <row r="295" spans="2:17">
      <c r="B295" s="97"/>
      <c r="C295" s="97"/>
      <c r="D295" s="97"/>
      <c r="E295" s="97"/>
      <c r="F295" s="97"/>
      <c r="G295" s="97"/>
      <c r="H295" s="97"/>
      <c r="I295" s="97"/>
      <c r="J295" s="97"/>
      <c r="K295" s="97"/>
      <c r="L295" s="97"/>
      <c r="M295" s="97"/>
      <c r="N295" s="97"/>
      <c r="O295" s="97"/>
      <c r="P295" s="97"/>
      <c r="Q295" s="97"/>
    </row>
    <row r="296" spans="2:17">
      <c r="B296" s="97"/>
      <c r="C296" s="97"/>
      <c r="D296" s="97"/>
      <c r="E296" s="97"/>
      <c r="F296" s="97"/>
      <c r="G296" s="97"/>
      <c r="H296" s="97"/>
      <c r="I296" s="97"/>
      <c r="J296" s="97"/>
      <c r="K296" s="97"/>
      <c r="L296" s="97"/>
      <c r="M296" s="97"/>
      <c r="N296" s="97"/>
      <c r="O296" s="97"/>
      <c r="P296" s="97"/>
      <c r="Q296" s="97"/>
    </row>
    <row r="297" spans="2:17">
      <c r="B297" s="97"/>
      <c r="C297" s="97"/>
      <c r="D297" s="97"/>
      <c r="E297" s="97"/>
      <c r="F297" s="97"/>
      <c r="G297" s="97"/>
      <c r="H297" s="97"/>
      <c r="I297" s="97"/>
      <c r="J297" s="97"/>
      <c r="K297" s="97"/>
      <c r="L297" s="97"/>
      <c r="M297" s="97"/>
      <c r="N297" s="97"/>
      <c r="O297" s="97"/>
      <c r="P297" s="97"/>
      <c r="Q297" s="97"/>
    </row>
    <row r="298" spans="2:17">
      <c r="B298" s="97"/>
      <c r="C298" s="97"/>
      <c r="D298" s="97"/>
      <c r="E298" s="97"/>
      <c r="F298" s="97"/>
      <c r="G298" s="97"/>
      <c r="H298" s="97"/>
      <c r="I298" s="97"/>
      <c r="J298" s="97"/>
      <c r="K298" s="97"/>
      <c r="L298" s="97"/>
      <c r="M298" s="97"/>
      <c r="N298" s="97"/>
      <c r="O298" s="97"/>
      <c r="P298" s="97"/>
      <c r="Q298" s="97"/>
    </row>
    <row r="299" spans="2:17">
      <c r="B299" s="97"/>
      <c r="C299" s="97"/>
      <c r="D299" s="97"/>
      <c r="E299" s="97"/>
      <c r="F299" s="97"/>
      <c r="G299" s="97"/>
      <c r="H299" s="97"/>
      <c r="I299" s="97"/>
      <c r="J299" s="97"/>
      <c r="K299" s="97"/>
      <c r="L299" s="97"/>
      <c r="M299" s="97"/>
      <c r="N299" s="97"/>
      <c r="O299" s="97"/>
      <c r="P299" s="97"/>
      <c r="Q299" s="97"/>
    </row>
    <row r="300" spans="2:17">
      <c r="B300" s="97"/>
      <c r="C300" s="97"/>
      <c r="D300" s="97"/>
      <c r="E300" s="97"/>
      <c r="F300" s="97"/>
      <c r="G300" s="97"/>
      <c r="H300" s="97"/>
      <c r="I300" s="97"/>
      <c r="J300" s="97"/>
      <c r="K300" s="97"/>
      <c r="L300" s="97"/>
      <c r="M300" s="97"/>
      <c r="N300" s="97"/>
      <c r="O300" s="97"/>
      <c r="P300" s="97"/>
      <c r="Q300" s="97"/>
    </row>
  </sheetData>
  <sheetProtection sheet="1" objects="1" scenarios="1"/>
  <mergeCells count="23">
    <mergeCell ref="L85:S85"/>
    <mergeCell ref="B50:F50"/>
    <mergeCell ref="L112:M112"/>
    <mergeCell ref="B111:C111"/>
    <mergeCell ref="E111:H111"/>
    <mergeCell ref="J111:M111"/>
    <mergeCell ref="N111:O111"/>
    <mergeCell ref="E112:F112"/>
    <mergeCell ref="K15:P15"/>
    <mergeCell ref="B27:F27"/>
    <mergeCell ref="B62:F62"/>
    <mergeCell ref="K50:P50"/>
    <mergeCell ref="G50:J50"/>
    <mergeCell ref="G125:H125"/>
    <mergeCell ref="B125:F125"/>
    <mergeCell ref="B145:E145"/>
    <mergeCell ref="B15:F15"/>
    <mergeCell ref="G15:J15"/>
    <mergeCell ref="F85:J85"/>
    <mergeCell ref="B85:D85"/>
    <mergeCell ref="C126:D126"/>
    <mergeCell ref="E126:F126"/>
    <mergeCell ref="E113:F11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YT84"/>
  <sheetViews>
    <sheetView zoomScale="112" zoomScaleNormal="112" workbookViewId="0">
      <selection activeCell="H54" sqref="H54"/>
    </sheetView>
  </sheetViews>
  <sheetFormatPr defaultColWidth="8.85546875" defaultRowHeight="12.75"/>
  <cols>
    <col min="1" max="1" width="8.85546875" style="8"/>
    <col min="2" max="2" width="35.5703125" style="8" customWidth="1"/>
    <col min="3" max="3" width="16.42578125" style="8" customWidth="1"/>
    <col min="4" max="7" width="10.85546875" style="8" customWidth="1"/>
    <col min="8" max="8" width="14.28515625" style="8" customWidth="1"/>
    <col min="9" max="10" width="10.85546875" style="8" customWidth="1"/>
    <col min="11" max="11" width="10.85546875" style="8" bestFit="1" customWidth="1"/>
    <col min="12" max="16" width="10.85546875" style="8" customWidth="1"/>
    <col min="17" max="17" width="9.5703125" style="8" bestFit="1" customWidth="1"/>
    <col min="18" max="23" width="8.85546875" style="8"/>
    <col min="24" max="24" width="11" style="8" customWidth="1"/>
    <col min="25" max="25" width="10.28515625" style="8" bestFit="1" customWidth="1"/>
    <col min="26" max="26" width="12.42578125" style="8" customWidth="1"/>
    <col min="27" max="16384" width="8.85546875" style="8"/>
  </cols>
  <sheetData>
    <row r="1" spans="1:670" s="44" customFormat="1">
      <c r="N1" s="68"/>
    </row>
    <row r="2" spans="1:670" s="44" customFormat="1">
      <c r="F2" s="68"/>
    </row>
    <row r="3" spans="1:670" s="45" customFormat="1">
      <c r="F3" s="69"/>
    </row>
    <row r="4" spans="1:670" s="44" customFormat="1">
      <c r="F4" s="68"/>
    </row>
    <row r="5" spans="1:670" s="44" customFormat="1">
      <c r="F5" s="68"/>
    </row>
    <row r="6" spans="1:670">
      <c r="A6" s="182"/>
      <c r="B6" s="182"/>
      <c r="C6" s="182"/>
      <c r="D6" s="182"/>
      <c r="E6" s="182"/>
      <c r="F6" s="183"/>
      <c r="G6" s="182"/>
      <c r="H6" s="182"/>
      <c r="I6" s="182"/>
      <c r="J6" s="182"/>
      <c r="K6" s="182"/>
      <c r="L6" s="182"/>
      <c r="M6" s="182"/>
      <c r="N6" s="182"/>
      <c r="O6" s="182"/>
      <c r="P6" s="182"/>
      <c r="Q6" s="182"/>
      <c r="R6" s="182"/>
      <c r="S6" s="182"/>
      <c r="T6" s="182"/>
      <c r="U6" s="182"/>
      <c r="V6" s="182"/>
      <c r="W6" s="182"/>
      <c r="X6" s="182"/>
      <c r="Y6" s="182"/>
      <c r="Z6" s="182"/>
      <c r="AA6" s="182"/>
    </row>
    <row r="7" spans="1:670" s="91" customFormat="1" ht="18">
      <c r="A7" s="217"/>
      <c r="B7" s="218"/>
      <c r="C7" s="217"/>
      <c r="D7" s="217"/>
      <c r="E7" s="219"/>
      <c r="F7" s="217"/>
      <c r="G7" s="217"/>
      <c r="H7" s="217"/>
      <c r="I7" s="217"/>
      <c r="J7" s="217"/>
      <c r="K7" s="217"/>
      <c r="L7" s="217"/>
      <c r="M7" s="217"/>
      <c r="N7" s="217"/>
      <c r="O7" s="217"/>
      <c r="P7" s="217"/>
      <c r="Q7" s="217"/>
      <c r="R7" s="217"/>
      <c r="S7" s="217"/>
      <c r="T7" s="217"/>
      <c r="U7" s="217"/>
      <c r="V7" s="217"/>
      <c r="W7" s="217"/>
      <c r="X7" s="217"/>
      <c r="Y7" s="217"/>
      <c r="Z7" s="217"/>
      <c r="AA7" s="217"/>
    </row>
    <row r="8" spans="1:670">
      <c r="A8" s="182"/>
      <c r="B8" s="170"/>
      <c r="C8" s="170"/>
      <c r="D8" s="170"/>
      <c r="E8" s="220"/>
      <c r="F8" s="170"/>
      <c r="G8" s="170"/>
      <c r="H8" s="170"/>
      <c r="I8" s="170"/>
      <c r="J8" s="170"/>
      <c r="K8" s="170"/>
      <c r="L8" s="170"/>
      <c r="M8" s="170"/>
      <c r="N8" s="170"/>
      <c r="O8" s="170"/>
      <c r="P8" s="170"/>
      <c r="Q8" s="170"/>
      <c r="R8" s="170"/>
      <c r="S8" s="170"/>
      <c r="T8" s="170"/>
      <c r="U8" s="170"/>
      <c r="V8" s="170"/>
      <c r="W8" s="170"/>
      <c r="X8" s="201"/>
      <c r="Y8" s="201"/>
      <c r="Z8" s="201"/>
      <c r="AA8" s="182"/>
    </row>
    <row r="9" spans="1:670">
      <c r="A9" s="182"/>
      <c r="B9" s="221"/>
      <c r="C9" s="170"/>
      <c r="D9" s="170"/>
      <c r="E9" s="220"/>
      <c r="F9" s="170"/>
      <c r="G9" s="170"/>
      <c r="H9" s="170"/>
      <c r="I9" s="170"/>
      <c r="J9" s="170"/>
      <c r="K9" s="170"/>
      <c r="L9" s="170"/>
      <c r="M9" s="170"/>
      <c r="N9" s="170"/>
      <c r="O9" s="170"/>
      <c r="P9" s="170"/>
      <c r="Q9" s="170"/>
      <c r="R9" s="170"/>
      <c r="S9" s="170"/>
      <c r="T9" s="170"/>
      <c r="U9" s="170"/>
      <c r="V9" s="170"/>
      <c r="W9" s="170"/>
      <c r="X9" s="201"/>
      <c r="Y9" s="201"/>
      <c r="Z9" s="201"/>
      <c r="AA9" s="182"/>
    </row>
    <row r="10" spans="1:670" s="88" customFormat="1" ht="59.45" customHeight="1">
      <c r="A10" s="222"/>
      <c r="B10" s="223" t="s">
        <v>0</v>
      </c>
      <c r="C10" s="224" t="s">
        <v>261</v>
      </c>
      <c r="D10" s="224" t="s">
        <v>21</v>
      </c>
      <c r="E10" s="225" t="s">
        <v>26</v>
      </c>
      <c r="F10" s="224" t="s">
        <v>27</v>
      </c>
      <c r="G10" s="224" t="s">
        <v>28</v>
      </c>
      <c r="H10" s="226" t="s">
        <v>29</v>
      </c>
      <c r="I10" s="226" t="s">
        <v>152</v>
      </c>
      <c r="J10" s="226" t="s">
        <v>17</v>
      </c>
      <c r="K10" s="226" t="s">
        <v>30</v>
      </c>
      <c r="L10" s="224" t="s">
        <v>18</v>
      </c>
      <c r="M10" s="224" t="s">
        <v>23</v>
      </c>
      <c r="N10" s="226" t="s">
        <v>74</v>
      </c>
      <c r="O10" s="224" t="s">
        <v>134</v>
      </c>
      <c r="P10" s="226" t="s">
        <v>151</v>
      </c>
      <c r="Q10" s="227" t="s">
        <v>153</v>
      </c>
      <c r="R10" s="226" t="s">
        <v>22</v>
      </c>
      <c r="S10" s="226" t="s">
        <v>72</v>
      </c>
      <c r="T10" s="224" t="s">
        <v>19</v>
      </c>
      <c r="U10" s="224" t="s">
        <v>20</v>
      </c>
      <c r="V10" s="226" t="s">
        <v>11</v>
      </c>
      <c r="W10" s="228"/>
      <c r="X10" s="229" t="s">
        <v>184</v>
      </c>
      <c r="Y10" s="229" t="s">
        <v>166</v>
      </c>
      <c r="Z10" s="229" t="s">
        <v>167</v>
      </c>
      <c r="AA10" s="222"/>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row>
    <row r="11" spans="1:670" s="89" customFormat="1" ht="15">
      <c r="A11" s="182"/>
      <c r="B11" s="230" t="s">
        <v>291</v>
      </c>
      <c r="C11" s="231">
        <f>SUM(D11:U11)</f>
        <v>1</v>
      </c>
      <c r="D11" s="232">
        <v>0.59</v>
      </c>
      <c r="E11" s="232">
        <v>0.27</v>
      </c>
      <c r="F11" s="232">
        <v>0.05</v>
      </c>
      <c r="G11" s="232">
        <v>7.0000000000000007E-2</v>
      </c>
      <c r="H11" s="232">
        <v>0.01</v>
      </c>
      <c r="I11" s="232">
        <v>0.01</v>
      </c>
      <c r="J11" s="232"/>
      <c r="K11" s="232"/>
      <c r="L11" s="232"/>
      <c r="M11" s="232"/>
      <c r="N11" s="232"/>
      <c r="O11" s="232"/>
      <c r="P11" s="232"/>
      <c r="Q11" s="232"/>
      <c r="R11" s="233"/>
      <c r="S11" s="233"/>
      <c r="T11" s="233"/>
      <c r="U11" s="233"/>
      <c r="V11" s="234"/>
      <c r="W11" s="230"/>
      <c r="X11" s="235">
        <f>SUMPRODUCT(D11:V11,$D$19:$V$19)</f>
        <v>12.658111426549997</v>
      </c>
      <c r="Y11" s="235">
        <f>SUMPRODUCT(D11:V11,$D$20:$V$20)</f>
        <v>-1.6620756427039998</v>
      </c>
      <c r="Z11" s="235">
        <f>SUMPRODUCT(D11:V11,$D$21:$V$21)</f>
        <v>1.23555414465</v>
      </c>
      <c r="AA11" s="182"/>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row>
    <row r="12" spans="1:670" s="90" customFormat="1" ht="27.75">
      <c r="A12" s="182"/>
      <c r="B12" s="435" t="s">
        <v>295</v>
      </c>
      <c r="C12" s="231">
        <f>SUM(D12:U12)</f>
        <v>1</v>
      </c>
      <c r="D12" s="237"/>
      <c r="E12" s="237"/>
      <c r="F12" s="237"/>
      <c r="G12" s="237"/>
      <c r="H12" s="237"/>
      <c r="I12" s="237"/>
      <c r="J12" s="237">
        <v>0.14000000000000001</v>
      </c>
      <c r="K12" s="237">
        <v>0.38</v>
      </c>
      <c r="L12" s="237"/>
      <c r="M12" s="237">
        <v>0.37</v>
      </c>
      <c r="N12" s="237"/>
      <c r="O12" s="237"/>
      <c r="P12" s="237">
        <v>0.11</v>
      </c>
      <c r="Q12" s="240"/>
      <c r="R12" s="240"/>
      <c r="S12" s="240"/>
      <c r="T12" s="238"/>
      <c r="U12" s="238"/>
      <c r="V12" s="241"/>
      <c r="W12" s="236"/>
      <c r="X12" s="235">
        <f>SUMPRODUCT(D12:V12,$D$19:$V$19)</f>
        <v>16.644297993449999</v>
      </c>
      <c r="Y12" s="235">
        <f>SUMPRODUCT(D12:V12,$D$20:$V$20)</f>
        <v>-9.3759894691764991</v>
      </c>
      <c r="Z12" s="235">
        <f>SUMPRODUCT(D12:V12,$D$21:$V$21)</f>
        <v>1.0185757819350001</v>
      </c>
      <c r="AA12" s="182"/>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row>
    <row r="13" spans="1:670" s="90" customFormat="1" ht="15">
      <c r="A13" s="182"/>
      <c r="B13" s="236" t="s">
        <v>293</v>
      </c>
      <c r="C13" s="231">
        <f>SUM(D13:U13)</f>
        <v>1</v>
      </c>
      <c r="D13" s="237"/>
      <c r="E13" s="237"/>
      <c r="F13" s="237"/>
      <c r="G13" s="237"/>
      <c r="H13" s="237"/>
      <c r="I13" s="237"/>
      <c r="J13" s="237">
        <v>0.02</v>
      </c>
      <c r="K13" s="237">
        <f>14%+(1/3*V13)</f>
        <v>0.21666666666666667</v>
      </c>
      <c r="L13" s="237">
        <f>18%+(1/3*V13)</f>
        <v>0.25666666666666665</v>
      </c>
      <c r="M13" s="237">
        <v>0.05</v>
      </c>
      <c r="N13" s="237">
        <f>32%+(1/3*V13)</f>
        <v>0.39666666666666667</v>
      </c>
      <c r="O13" s="237">
        <v>0.01</v>
      </c>
      <c r="P13" s="237"/>
      <c r="Q13" s="237">
        <v>0.01</v>
      </c>
      <c r="R13" s="238"/>
      <c r="S13" s="237">
        <v>0.01</v>
      </c>
      <c r="T13" s="237">
        <v>0.03</v>
      </c>
      <c r="U13" s="238"/>
      <c r="V13" s="239">
        <v>0.23</v>
      </c>
      <c r="W13" s="236"/>
      <c r="X13" s="235">
        <f>SUMPRODUCT(D13:V13,$D$19:$V$19)</f>
        <v>2.0679402111298124</v>
      </c>
      <c r="Y13" s="235">
        <f>SUMPRODUCT(D13:V13,$D$20:$V$20)</f>
        <v>-1.9278207108374998</v>
      </c>
      <c r="Z13" s="235">
        <f>SUMPRODUCT(D13:V13,$D$21:$V$21)</f>
        <v>0.14802009192666665</v>
      </c>
      <c r="AA13" s="182"/>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row>
    <row r="14" spans="1:670" s="90" customFormat="1" ht="15">
      <c r="A14" s="182"/>
      <c r="B14" s="236" t="s">
        <v>297</v>
      </c>
      <c r="C14" s="231">
        <f t="shared" ref="C14:C18" si="0">SUM(D14:U14)</f>
        <v>1</v>
      </c>
      <c r="D14" s="237"/>
      <c r="E14" s="237"/>
      <c r="F14" s="237"/>
      <c r="G14" s="237"/>
      <c r="H14" s="237"/>
      <c r="I14" s="237"/>
      <c r="J14" s="237"/>
      <c r="K14" s="237">
        <v>0.1</v>
      </c>
      <c r="L14" s="237">
        <v>0.6</v>
      </c>
      <c r="M14" s="237">
        <v>0.05</v>
      </c>
      <c r="N14" s="237"/>
      <c r="O14" s="237"/>
      <c r="P14" s="237"/>
      <c r="Q14" s="240"/>
      <c r="R14" s="240"/>
      <c r="S14" s="240"/>
      <c r="T14" s="238"/>
      <c r="U14" s="240">
        <v>0.25</v>
      </c>
      <c r="V14" s="241"/>
      <c r="W14" s="236"/>
      <c r="X14" s="235">
        <f t="shared" ref="X14:X18" si="1">SUMPRODUCT(D14:V14,$D$19:$V$19)</f>
        <v>1.723509516945652</v>
      </c>
      <c r="Y14" s="235">
        <f t="shared" ref="Y14:Y18" si="2">SUMPRODUCT(D14:V14,$D$20:$V$20)</f>
        <v>-1.2320649717224998</v>
      </c>
      <c r="Z14" s="235">
        <f t="shared" ref="Z14:Z18" si="3">SUMPRODUCT(D14:V14,$D$21:$V$21)</f>
        <v>0.13254228765000001</v>
      </c>
      <c r="AA14" s="182"/>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row>
    <row r="15" spans="1:670" s="90" customFormat="1" ht="15">
      <c r="A15" s="182"/>
      <c r="B15" s="236" t="s">
        <v>298</v>
      </c>
      <c r="C15" s="231">
        <f t="shared" si="0"/>
        <v>0.99999999999999989</v>
      </c>
      <c r="D15" s="237"/>
      <c r="E15" s="237"/>
      <c r="F15" s="237">
        <v>2.5000000000000001E-2</v>
      </c>
      <c r="G15" s="237"/>
      <c r="H15" s="237"/>
      <c r="I15" s="237"/>
      <c r="J15" s="237">
        <v>0.2</v>
      </c>
      <c r="K15" s="237">
        <v>0.6</v>
      </c>
      <c r="L15" s="237"/>
      <c r="M15" s="237">
        <v>7.4999999999999997E-2</v>
      </c>
      <c r="N15" s="237"/>
      <c r="O15" s="237"/>
      <c r="P15" s="237">
        <v>0.02</v>
      </c>
      <c r="Q15" s="240"/>
      <c r="R15" s="240">
        <v>0.08</v>
      </c>
      <c r="S15" s="240"/>
      <c r="T15" s="238"/>
      <c r="U15" s="238"/>
      <c r="V15" s="241"/>
      <c r="W15" s="236"/>
      <c r="X15" s="235">
        <f>SUMPRODUCT(D15:V15,$D$19:$V$19)</f>
        <v>7.6683695724999996</v>
      </c>
      <c r="Y15" s="235">
        <f t="shared" si="2"/>
        <v>-5.6427090036209995</v>
      </c>
      <c r="Z15" s="235">
        <f t="shared" si="3"/>
        <v>0.52944811088999999</v>
      </c>
      <c r="AA15" s="182"/>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row>
    <row r="16" spans="1:670" s="90" customFormat="1" ht="15">
      <c r="A16" s="182"/>
      <c r="B16" s="236" t="s">
        <v>299</v>
      </c>
      <c r="C16" s="231">
        <f t="shared" si="0"/>
        <v>1</v>
      </c>
      <c r="D16" s="237"/>
      <c r="E16" s="237"/>
      <c r="F16" s="237"/>
      <c r="G16" s="237"/>
      <c r="H16" s="237"/>
      <c r="I16" s="237"/>
      <c r="J16" s="237"/>
      <c r="K16" s="237"/>
      <c r="L16" s="237"/>
      <c r="M16" s="237">
        <v>0.05</v>
      </c>
      <c r="N16" s="237"/>
      <c r="O16" s="237"/>
      <c r="P16" s="237"/>
      <c r="Q16" s="240"/>
      <c r="R16" s="240"/>
      <c r="S16" s="240">
        <v>0.95</v>
      </c>
      <c r="T16" s="238"/>
      <c r="U16" s="238"/>
      <c r="V16" s="241"/>
      <c r="W16" s="236"/>
      <c r="X16" s="235">
        <f t="shared" si="1"/>
        <v>1.9949127317499997</v>
      </c>
      <c r="Y16" s="235">
        <f t="shared" si="2"/>
        <v>-0.73811771074749988</v>
      </c>
      <c r="Z16" s="235">
        <f t="shared" si="3"/>
        <v>0.14549920475</v>
      </c>
      <c r="AA16" s="182"/>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row>
    <row r="17" spans="1:670" s="90" customFormat="1" ht="15">
      <c r="A17" s="182"/>
      <c r="B17" s="236" t="s">
        <v>300</v>
      </c>
      <c r="C17" s="231">
        <f t="shared" si="0"/>
        <v>1</v>
      </c>
      <c r="D17" s="237"/>
      <c r="E17" s="237"/>
      <c r="F17" s="237"/>
      <c r="G17" s="237"/>
      <c r="H17" s="237"/>
      <c r="I17" s="237"/>
      <c r="J17" s="237"/>
      <c r="K17" s="237">
        <v>0.05</v>
      </c>
      <c r="L17" s="237">
        <v>0.3</v>
      </c>
      <c r="M17" s="237">
        <v>0.35</v>
      </c>
      <c r="N17" s="237"/>
      <c r="O17" s="237"/>
      <c r="P17" s="237"/>
      <c r="Q17" s="240"/>
      <c r="R17" s="240"/>
      <c r="S17" s="240">
        <v>0.3</v>
      </c>
      <c r="T17" s="238"/>
      <c r="U17" s="238"/>
      <c r="V17" s="241"/>
      <c r="W17" s="236"/>
      <c r="X17" s="235">
        <f t="shared" si="1"/>
        <v>2.7763693960978255</v>
      </c>
      <c r="Y17" s="235">
        <f t="shared" si="2"/>
        <v>-1.4178570389075</v>
      </c>
      <c r="Z17" s="235">
        <f t="shared" si="3"/>
        <v>0.84271934844999996</v>
      </c>
      <c r="AA17" s="182"/>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row>
    <row r="18" spans="1:670" s="90" customFormat="1" ht="15">
      <c r="A18" s="182"/>
      <c r="B18" s="242" t="s">
        <v>301</v>
      </c>
      <c r="C18" s="231">
        <f t="shared" si="0"/>
        <v>1</v>
      </c>
      <c r="D18" s="237"/>
      <c r="E18" s="237"/>
      <c r="F18" s="237"/>
      <c r="G18" s="237"/>
      <c r="H18" s="237"/>
      <c r="I18" s="237"/>
      <c r="J18" s="237"/>
      <c r="K18" s="237">
        <v>0.05</v>
      </c>
      <c r="L18" s="237">
        <v>0.05</v>
      </c>
      <c r="M18" s="237">
        <v>0.2</v>
      </c>
      <c r="N18" s="237"/>
      <c r="O18" s="237"/>
      <c r="P18" s="237"/>
      <c r="Q18" s="237"/>
      <c r="R18" s="240"/>
      <c r="S18" s="240"/>
      <c r="T18" s="240">
        <v>0.2</v>
      </c>
      <c r="U18" s="240">
        <v>0.5</v>
      </c>
      <c r="V18" s="241"/>
      <c r="W18" s="236"/>
      <c r="X18" s="235">
        <f t="shared" si="1"/>
        <v>2.4375261063913043</v>
      </c>
      <c r="Y18" s="235">
        <f t="shared" si="2"/>
        <v>-0.6822169603399999</v>
      </c>
      <c r="Z18" s="235">
        <f t="shared" si="3"/>
        <v>0.4875818857</v>
      </c>
      <c r="AA18" s="182"/>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row>
    <row r="19" spans="1:670" ht="38.25">
      <c r="A19" s="182"/>
      <c r="B19" s="182"/>
      <c r="C19" s="243" t="s">
        <v>273</v>
      </c>
      <c r="D19" s="244">
        <f>'Impactdata ecoras'!B48</f>
        <v>18.04</v>
      </c>
      <c r="E19" s="244">
        <f>'Impactdata ecoras'!B30</f>
        <v>4.9521996849999992</v>
      </c>
      <c r="F19" s="244">
        <f>'Impactdata ecoras'!B30</f>
        <v>4.9521996849999992</v>
      </c>
      <c r="G19" s="244">
        <f>'Impactdata ecoras'!B51</f>
        <v>3.94693615</v>
      </c>
      <c r="H19" s="244">
        <f>'Impactdata ecoras'!B68</f>
        <v>10.4</v>
      </c>
      <c r="I19" s="244">
        <f>'Impactdata ecoras'!B30</f>
        <v>4.9521996849999992</v>
      </c>
      <c r="J19" s="244">
        <f>'Impactdata ecoras'!B25</f>
        <v>11.661651899999999</v>
      </c>
      <c r="K19" s="244">
        <f>'Impactdata ecoras'!B21</f>
        <v>3.8480149000000003</v>
      </c>
      <c r="L19" s="244">
        <f>'Impactdata ecoras'!B42</f>
        <v>0.9963964878260867</v>
      </c>
      <c r="M19" s="244">
        <f>'Impactdata ecoras'!B30</f>
        <v>4.9521996849999992</v>
      </c>
      <c r="N19" s="244">
        <f>'Impactdata ecoras'!B36</f>
        <v>0.82967836257309946</v>
      </c>
      <c r="O19" s="244">
        <f>'Impactdata ecoras'!B67</f>
        <v>0.24076575921207058</v>
      </c>
      <c r="P19" s="244">
        <f>'Impactdata ecoras'!B57</f>
        <v>106.5191562</v>
      </c>
      <c r="Q19" s="244">
        <f>(0.5*M19)+(0.5*D19)</f>
        <v>11.4960998425</v>
      </c>
      <c r="R19" s="244">
        <f>'Impactdata ecoras'!B33</f>
        <v>5.0203395000000004</v>
      </c>
      <c r="S19" s="244">
        <f>'Impactdata ecoras'!B62</f>
        <v>1.83926605</v>
      </c>
      <c r="T19" s="244">
        <f>'Impactdata ecoras'!B44</f>
        <v>1.0917265</v>
      </c>
      <c r="U19" s="244">
        <f>'Impactdata ecoras'!B46</f>
        <v>1.9730406</v>
      </c>
      <c r="V19" s="245"/>
      <c r="W19" s="245"/>
      <c r="X19" s="182"/>
      <c r="Y19" s="182"/>
      <c r="Z19" s="182"/>
      <c r="AA19" s="182"/>
    </row>
    <row r="20" spans="1:670" ht="38.25">
      <c r="A20" s="182"/>
      <c r="B20" s="182"/>
      <c r="C20" s="246" t="s">
        <v>274</v>
      </c>
      <c r="D20" s="247">
        <f>'Impactdata ecoras'!E115</f>
        <v>-1.4792799999999999</v>
      </c>
      <c r="E20" s="247">
        <f>'Impactdata ecoras'!E108</f>
        <v>-1.8323138834499997</v>
      </c>
      <c r="F20" s="247">
        <f>'Impactdata ecoras'!E108</f>
        <v>-1.8323138834499997</v>
      </c>
      <c r="G20" s="247">
        <f>'Impactdata ecoras'!E113</f>
        <v>-1.35</v>
      </c>
      <c r="H20" s="247">
        <f>'Impactdata ecoras'!E116</f>
        <v>-9.7759999999999998</v>
      </c>
      <c r="I20" s="247">
        <f>'Impactdata ecoras'!E114</f>
        <v>-1.07</v>
      </c>
      <c r="J20" s="247">
        <f>'Impactdata ecoras'!E106</f>
        <v>-11.195185823999999</v>
      </c>
      <c r="K20" s="247">
        <f>'Impactdata ecoras'!E107</f>
        <v>-3.3477729630000002</v>
      </c>
      <c r="L20" s="247">
        <f>'Impactdata ecoras'!E113</f>
        <v>-1.35</v>
      </c>
      <c r="M20" s="247">
        <f>'Impactdata ecoras'!E108</f>
        <v>-1.8323138834499997</v>
      </c>
      <c r="N20" s="247">
        <f>'Impactdata ecoras'!E113</f>
        <v>-1.35</v>
      </c>
      <c r="O20" s="247">
        <f>'Impactdata ecoras'!E111</f>
        <v>-0.02</v>
      </c>
      <c r="P20" s="247">
        <f>'Impactdata ecoras'!E117</f>
        <v>-53.259578099999999</v>
      </c>
      <c r="Q20" s="247">
        <f>Q21</f>
        <v>1.54830288</v>
      </c>
      <c r="R20" s="247">
        <f>'Impactdata ecoras'!E108</f>
        <v>-1.8323138834499997</v>
      </c>
      <c r="S20" s="247">
        <f>'Impactdata ecoras'!E109</f>
        <v>-0.6805284385</v>
      </c>
      <c r="T20" s="247">
        <f>'Impactdata ecoras'!E105</f>
        <v>-0.44760786499999999</v>
      </c>
      <c r="U20" s="247">
        <f>U21</f>
        <v>1.7312075E-2</v>
      </c>
      <c r="V20" s="248"/>
      <c r="W20" s="248"/>
      <c r="X20" s="182"/>
      <c r="Y20" s="182"/>
      <c r="Z20" s="182"/>
      <c r="AA20" s="182"/>
    </row>
    <row r="21" spans="1:670" ht="28.5" customHeight="1">
      <c r="A21" s="182"/>
      <c r="B21" s="182"/>
      <c r="C21" s="249" t="s">
        <v>275</v>
      </c>
      <c r="D21" s="244">
        <f>'Impactdata ecoras'!B92</f>
        <v>0.72713565999999996</v>
      </c>
      <c r="E21" s="244">
        <f>M21</f>
        <v>2.3694701</v>
      </c>
      <c r="F21" s="244">
        <f>M21</f>
        <v>2.3694701</v>
      </c>
      <c r="G21" s="244">
        <f>L21</f>
        <v>1.3203875E-2</v>
      </c>
      <c r="H21" s="244">
        <f>F21</f>
        <v>2.3694701</v>
      </c>
      <c r="I21" s="244">
        <f>M21</f>
        <v>2.3694701</v>
      </c>
      <c r="J21" s="244">
        <f>'Impactdata ecoras'!B87</f>
        <v>2.6005573000000001E-2</v>
      </c>
      <c r="K21" s="244">
        <f>'Impactdata ecoras'!B86</f>
        <v>1.8184388999999999E-2</v>
      </c>
      <c r="L21" s="244">
        <f>'Impactdata ecoras'!B90</f>
        <v>1.3203875E-2</v>
      </c>
      <c r="M21" s="244">
        <f>'Impactdata ecoras'!B88</f>
        <v>2.3694701</v>
      </c>
      <c r="N21" s="244">
        <f>L21</f>
        <v>1.3203875E-2</v>
      </c>
      <c r="O21" s="244">
        <f>T21</f>
        <v>1.7312075E-2</v>
      </c>
      <c r="P21" s="244">
        <f>(0.5*M21)+(0.5*K21)</f>
        <v>1.1938272445</v>
      </c>
      <c r="Q21" s="244">
        <f>(0.5*M21)+(0.5*D21)</f>
        <v>1.54830288</v>
      </c>
      <c r="R21" s="244">
        <f>'Impactdata ecoras'!B89</f>
        <v>3.1564101</v>
      </c>
      <c r="S21" s="244">
        <f>'Impactdata ecoras'!B94</f>
        <v>2.8448105000000001E-2</v>
      </c>
      <c r="T21" s="244">
        <f>'Impactdata ecoras'!B91</f>
        <v>1.7312075E-2</v>
      </c>
      <c r="U21" s="250">
        <f>T21</f>
        <v>1.7312075E-2</v>
      </c>
      <c r="V21" s="245"/>
      <c r="W21" s="245"/>
      <c r="X21" s="182"/>
      <c r="Y21" s="182"/>
      <c r="Z21" s="182"/>
      <c r="AA21" s="182"/>
    </row>
    <row r="22" spans="1:670">
      <c r="A22" s="182"/>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row>
    <row r="23" spans="1:670">
      <c r="A23" s="182"/>
      <c r="W23" s="182"/>
      <c r="X23" s="182"/>
      <c r="Y23" s="182"/>
      <c r="Z23" s="182"/>
      <c r="AA23" s="182"/>
    </row>
    <row r="24" spans="1:670">
      <c r="A24" s="182"/>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row>
    <row r="25" spans="1:670">
      <c r="A25" s="182"/>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row>
    <row r="26" spans="1:670">
      <c r="A26" s="182"/>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row>
    <row r="27" spans="1:670">
      <c r="A27" s="182"/>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row>
    <row r="38" spans="1:22" s="428" customFormat="1">
      <c r="B38" s="417"/>
      <c r="C38" s="417"/>
      <c r="D38" s="417"/>
      <c r="E38" s="417"/>
      <c r="F38" s="417"/>
      <c r="G38" s="417"/>
      <c r="H38" s="417"/>
      <c r="I38" s="417"/>
      <c r="J38" s="417"/>
      <c r="K38" s="417"/>
      <c r="L38" s="417"/>
      <c r="M38" s="417"/>
      <c r="N38" s="417"/>
      <c r="O38" s="417"/>
      <c r="P38" s="417"/>
      <c r="Q38" s="417"/>
      <c r="R38" s="417"/>
      <c r="S38" s="417"/>
      <c r="T38" s="417"/>
      <c r="U38" s="417"/>
      <c r="V38" s="417"/>
    </row>
    <row r="39" spans="1:22" s="428" customFormat="1" ht="14.25">
      <c r="A39" s="434">
        <v>5</v>
      </c>
      <c r="B39" s="417" t="s">
        <v>292</v>
      </c>
      <c r="C39" s="417"/>
      <c r="D39" s="417"/>
      <c r="E39" s="417"/>
      <c r="F39" s="417"/>
      <c r="G39" s="417"/>
      <c r="H39" s="417"/>
      <c r="I39" s="417"/>
      <c r="J39" s="417"/>
      <c r="K39" s="417"/>
      <c r="L39" s="417"/>
      <c r="M39" s="417"/>
      <c r="N39" s="417"/>
      <c r="O39" s="417"/>
      <c r="P39" s="417"/>
      <c r="Q39" s="417"/>
      <c r="R39" s="417"/>
      <c r="S39" s="417"/>
      <c r="T39" s="417"/>
      <c r="U39" s="417"/>
      <c r="V39" s="417"/>
    </row>
    <row r="40" spans="1:22" s="428" customFormat="1">
      <c r="C40" s="417"/>
      <c r="D40" s="417"/>
      <c r="E40" s="417"/>
      <c r="F40" s="417"/>
      <c r="G40" s="417"/>
      <c r="H40" s="417"/>
      <c r="I40" s="417"/>
      <c r="J40" s="417"/>
      <c r="K40" s="417"/>
      <c r="L40" s="417"/>
      <c r="M40" s="417"/>
      <c r="N40" s="417"/>
      <c r="O40" s="417"/>
      <c r="P40" s="417"/>
      <c r="Q40" s="417"/>
      <c r="R40" s="417"/>
      <c r="S40" s="417"/>
      <c r="T40" s="417"/>
      <c r="U40" s="417"/>
      <c r="V40" s="417"/>
    </row>
    <row r="41" spans="1:22" s="428" customFormat="1">
      <c r="C41" s="417"/>
      <c r="D41" s="417"/>
      <c r="E41" s="417"/>
      <c r="F41" s="417"/>
      <c r="G41" s="417"/>
      <c r="H41" s="417"/>
      <c r="I41" s="417"/>
      <c r="J41" s="417"/>
      <c r="K41" s="417"/>
      <c r="L41" s="417"/>
      <c r="M41" s="417"/>
      <c r="N41" s="417"/>
      <c r="O41" s="417"/>
      <c r="P41" s="417"/>
      <c r="Q41" s="417"/>
      <c r="R41" s="417"/>
      <c r="S41" s="417"/>
      <c r="T41" s="417"/>
      <c r="U41" s="417"/>
      <c r="V41" s="417"/>
    </row>
    <row r="42" spans="1:22" s="428" customFormat="1">
      <c r="C42" s="417"/>
      <c r="D42" s="417"/>
      <c r="E42" s="417"/>
      <c r="F42" s="417"/>
      <c r="G42" s="417"/>
      <c r="H42" s="417"/>
      <c r="I42" s="417"/>
      <c r="J42" s="417"/>
      <c r="K42" s="417"/>
      <c r="L42" s="417"/>
      <c r="M42" s="417"/>
      <c r="N42" s="417"/>
      <c r="O42" s="417"/>
      <c r="P42" s="417"/>
      <c r="Q42" s="417"/>
      <c r="R42" s="417"/>
      <c r="S42" s="417"/>
      <c r="T42" s="417"/>
      <c r="U42" s="417"/>
      <c r="V42" s="417"/>
    </row>
    <row r="43" spans="1:22" s="428" customFormat="1" ht="14.25">
      <c r="A43" s="434"/>
      <c r="B43" s="417"/>
      <c r="C43" s="417"/>
      <c r="D43" s="417"/>
      <c r="E43" s="417"/>
      <c r="F43" s="417"/>
      <c r="G43" s="417"/>
      <c r="H43" s="417"/>
      <c r="I43" s="417"/>
      <c r="J43" s="417"/>
      <c r="K43" s="417"/>
      <c r="L43" s="417"/>
      <c r="M43" s="417"/>
      <c r="N43" s="417"/>
      <c r="O43" s="417"/>
      <c r="P43" s="417"/>
      <c r="Q43" s="417"/>
      <c r="R43" s="417"/>
      <c r="S43" s="417"/>
      <c r="T43" s="417"/>
      <c r="U43" s="417"/>
      <c r="V43" s="417"/>
    </row>
    <row r="44" spans="1:22" s="428" customFormat="1">
      <c r="B44" s="417"/>
      <c r="C44" s="417"/>
      <c r="D44" s="417"/>
      <c r="E44" s="417"/>
      <c r="F44" s="417"/>
      <c r="G44" s="417"/>
      <c r="H44" s="417"/>
      <c r="I44" s="417"/>
      <c r="J44" s="417"/>
      <c r="K44" s="417"/>
      <c r="L44" s="417"/>
      <c r="M44" s="417"/>
      <c r="N44" s="417"/>
      <c r="O44" s="417"/>
      <c r="P44" s="417"/>
      <c r="Q44" s="417"/>
      <c r="R44" s="417"/>
      <c r="S44" s="417"/>
      <c r="T44" s="417"/>
      <c r="U44" s="417"/>
      <c r="V44" s="417"/>
    </row>
    <row r="45" spans="1:22" s="428" customFormat="1">
      <c r="B45" s="417"/>
      <c r="C45" s="417"/>
      <c r="D45" s="417"/>
      <c r="E45" s="417"/>
      <c r="F45" s="417"/>
      <c r="G45" s="417"/>
      <c r="H45" s="417"/>
      <c r="I45" s="417"/>
      <c r="J45" s="417"/>
      <c r="K45" s="417"/>
      <c r="L45" s="417"/>
      <c r="M45" s="417"/>
      <c r="N45" s="417"/>
      <c r="O45" s="417"/>
      <c r="P45" s="417"/>
      <c r="Q45" s="417"/>
      <c r="R45" s="417"/>
      <c r="S45" s="417"/>
      <c r="T45" s="417"/>
      <c r="U45" s="417"/>
      <c r="V45" s="417"/>
    </row>
    <row r="46" spans="1:22" s="428" customFormat="1">
      <c r="B46" s="425"/>
      <c r="C46" s="417"/>
      <c r="D46" s="417"/>
      <c r="E46" s="417"/>
      <c r="F46" s="417"/>
      <c r="G46" s="417"/>
      <c r="H46" s="417"/>
      <c r="I46" s="417"/>
      <c r="J46" s="417"/>
      <c r="K46" s="417"/>
      <c r="L46" s="417"/>
      <c r="M46" s="417"/>
      <c r="N46" s="417"/>
      <c r="O46" s="417"/>
      <c r="P46" s="417"/>
      <c r="Q46" s="417"/>
      <c r="R46" s="417"/>
      <c r="S46" s="417"/>
      <c r="T46" s="417"/>
      <c r="U46" s="417"/>
      <c r="V46" s="417"/>
    </row>
    <row r="47" spans="1:22" s="428" customFormat="1">
      <c r="B47" s="425"/>
      <c r="C47" s="417"/>
      <c r="D47" s="417"/>
      <c r="E47" s="417"/>
      <c r="F47" s="417"/>
      <c r="G47" s="417"/>
      <c r="H47" s="417"/>
      <c r="I47" s="417"/>
      <c r="J47" s="417"/>
      <c r="K47" s="417"/>
      <c r="L47" s="417"/>
      <c r="M47" s="417"/>
      <c r="N47" s="417"/>
      <c r="O47" s="417"/>
      <c r="P47" s="417"/>
      <c r="Q47" s="417"/>
      <c r="R47" s="417"/>
      <c r="S47" s="417"/>
      <c r="T47" s="417"/>
      <c r="U47" s="417"/>
      <c r="V47" s="417"/>
    </row>
    <row r="48" spans="1:22" s="428" customFormat="1">
      <c r="C48" s="417"/>
      <c r="D48" s="417"/>
      <c r="E48" s="417"/>
      <c r="F48" s="417"/>
      <c r="H48" s="417"/>
      <c r="I48" s="417"/>
      <c r="J48" s="417"/>
      <c r="K48" s="417"/>
      <c r="L48" s="417"/>
      <c r="M48" s="417"/>
      <c r="N48" s="417"/>
      <c r="O48" s="417"/>
      <c r="P48" s="417"/>
      <c r="Q48" s="417"/>
      <c r="R48" s="417"/>
      <c r="S48" s="417"/>
      <c r="T48" s="417"/>
      <c r="U48" s="417"/>
      <c r="V48" s="417"/>
    </row>
    <row r="49" spans="1:22" s="428" customFormat="1">
      <c r="C49" s="430"/>
      <c r="D49" s="430"/>
      <c r="E49" s="417"/>
      <c r="F49" s="417"/>
      <c r="G49" s="417"/>
      <c r="H49" s="417"/>
      <c r="I49" s="417"/>
      <c r="J49" s="417"/>
      <c r="K49" s="417"/>
      <c r="L49" s="417"/>
      <c r="M49" s="417"/>
      <c r="N49" s="417"/>
      <c r="O49" s="417"/>
      <c r="P49" s="417"/>
      <c r="Q49" s="417"/>
      <c r="R49" s="417"/>
      <c r="S49" s="417"/>
      <c r="T49" s="417"/>
      <c r="U49" s="417"/>
      <c r="V49" s="417"/>
    </row>
    <row r="50" spans="1:22" s="428" customFormat="1">
      <c r="D50" s="417"/>
      <c r="E50" s="417"/>
      <c r="F50" s="417"/>
      <c r="G50" s="417"/>
      <c r="H50" s="417"/>
      <c r="I50" s="417"/>
      <c r="J50" s="417"/>
      <c r="K50" s="417"/>
      <c r="L50" s="417"/>
      <c r="M50" s="417"/>
      <c r="N50" s="417"/>
      <c r="O50" s="417"/>
      <c r="P50" s="417"/>
      <c r="Q50" s="417"/>
      <c r="R50" s="417"/>
      <c r="S50" s="417"/>
      <c r="T50" s="417"/>
      <c r="U50" s="417"/>
      <c r="V50" s="417"/>
    </row>
    <row r="51" spans="1:22" s="428" customFormat="1" ht="14.25">
      <c r="A51" s="434">
        <v>6</v>
      </c>
      <c r="B51" s="417" t="s">
        <v>294</v>
      </c>
      <c r="F51" s="417"/>
      <c r="G51" s="417"/>
      <c r="H51" s="417"/>
      <c r="I51" s="417"/>
      <c r="J51" s="417"/>
      <c r="K51" s="417"/>
      <c r="L51" s="417"/>
      <c r="M51" s="417"/>
      <c r="N51" s="417"/>
      <c r="O51" s="417"/>
      <c r="P51" s="417"/>
      <c r="Q51" s="417"/>
      <c r="R51" s="417"/>
      <c r="S51" s="417"/>
      <c r="T51" s="417"/>
      <c r="U51" s="417"/>
      <c r="V51" s="417"/>
    </row>
    <row r="52" spans="1:22" s="428" customFormat="1" ht="14.25">
      <c r="A52" s="434">
        <v>7</v>
      </c>
      <c r="B52" s="417" t="s">
        <v>296</v>
      </c>
      <c r="F52" s="417"/>
      <c r="G52" s="417"/>
      <c r="H52" s="417"/>
      <c r="I52" s="417"/>
      <c r="J52" s="417"/>
      <c r="K52" s="417"/>
      <c r="L52" s="417"/>
      <c r="M52" s="417"/>
      <c r="N52" s="417"/>
      <c r="O52" s="417"/>
      <c r="P52" s="417"/>
      <c r="Q52" s="417"/>
      <c r="R52" s="417"/>
      <c r="S52" s="417"/>
      <c r="T52" s="417"/>
      <c r="U52" s="417"/>
      <c r="V52" s="417"/>
    </row>
    <row r="53" spans="1:22" s="428" customFormat="1">
      <c r="B53" s="429" t="s">
        <v>135</v>
      </c>
      <c r="F53" s="417"/>
      <c r="G53" s="417"/>
      <c r="H53" s="417"/>
      <c r="I53" s="417"/>
      <c r="J53" s="417"/>
      <c r="K53" s="417"/>
      <c r="L53" s="417"/>
      <c r="M53" s="417"/>
      <c r="N53" s="417"/>
      <c r="O53" s="417"/>
      <c r="P53" s="417"/>
      <c r="Q53" s="417"/>
      <c r="R53" s="417"/>
      <c r="S53" s="417"/>
      <c r="T53" s="417"/>
      <c r="U53" s="417"/>
      <c r="V53" s="417"/>
    </row>
    <row r="54" spans="1:22" s="428" customFormat="1">
      <c r="B54" s="417"/>
      <c r="F54" s="417"/>
      <c r="G54" s="417"/>
      <c r="H54" s="417"/>
      <c r="I54" s="417"/>
      <c r="J54" s="417"/>
      <c r="K54" s="417"/>
      <c r="L54" s="417"/>
      <c r="M54" s="417"/>
      <c r="N54" s="417"/>
      <c r="O54" s="417"/>
      <c r="P54" s="417"/>
      <c r="Q54" s="417"/>
      <c r="R54" s="417"/>
      <c r="S54" s="417"/>
      <c r="T54" s="417"/>
      <c r="U54" s="417"/>
      <c r="V54" s="417"/>
    </row>
    <row r="55" spans="1:22" s="428" customFormat="1">
      <c r="B55" s="417"/>
      <c r="F55" s="417" t="s">
        <v>136</v>
      </c>
      <c r="G55" s="417"/>
      <c r="H55" s="417"/>
      <c r="I55" s="417"/>
      <c r="J55" s="417"/>
      <c r="K55" s="417"/>
      <c r="L55" s="417"/>
      <c r="M55" s="417"/>
      <c r="N55" s="417"/>
      <c r="O55" s="417"/>
      <c r="P55" s="417"/>
      <c r="Q55" s="417"/>
      <c r="R55" s="417"/>
      <c r="S55" s="417"/>
      <c r="T55" s="417"/>
      <c r="U55" s="417"/>
      <c r="V55" s="417"/>
    </row>
    <row r="56" spans="1:22" s="428" customFormat="1">
      <c r="B56" s="417"/>
      <c r="C56" s="425"/>
      <c r="D56" s="425"/>
      <c r="E56" s="425"/>
      <c r="F56" s="417" t="s">
        <v>137</v>
      </c>
      <c r="G56" s="431">
        <f>(40.31+42.31+36.42+33.9)/4</f>
        <v>38.234999999999999</v>
      </c>
      <c r="H56" s="432">
        <f>G56/100</f>
        <v>0.38234999999999997</v>
      </c>
      <c r="I56" s="417"/>
      <c r="J56" s="417"/>
      <c r="K56" s="417"/>
      <c r="L56" s="417"/>
      <c r="M56" s="417"/>
      <c r="N56" s="417"/>
      <c r="O56" s="417"/>
      <c r="P56" s="417"/>
      <c r="Q56" s="417"/>
      <c r="R56" s="417"/>
      <c r="S56" s="417"/>
      <c r="T56" s="417"/>
      <c r="U56" s="417"/>
      <c r="V56" s="417"/>
    </row>
    <row r="57" spans="1:22" s="428" customFormat="1">
      <c r="B57" s="417"/>
      <c r="C57" s="425"/>
      <c r="D57" s="425"/>
      <c r="E57" s="425"/>
      <c r="F57" s="417" t="s">
        <v>24</v>
      </c>
      <c r="G57" s="417">
        <f>(36.68+27.53+36.42+48.03)/4</f>
        <v>37.165000000000006</v>
      </c>
      <c r="H57" s="432">
        <f>G57/100</f>
        <v>0.37165000000000004</v>
      </c>
      <c r="I57" s="417"/>
      <c r="J57" s="417"/>
      <c r="K57" s="417"/>
      <c r="L57" s="417"/>
      <c r="M57" s="417"/>
      <c r="N57" s="417"/>
      <c r="O57" s="417"/>
      <c r="P57" s="417"/>
      <c r="Q57" s="417"/>
      <c r="R57" s="417"/>
      <c r="S57" s="417"/>
      <c r="T57" s="417"/>
      <c r="U57" s="417"/>
      <c r="V57" s="417"/>
    </row>
    <row r="58" spans="1:22" s="428" customFormat="1">
      <c r="B58" s="425"/>
      <c r="C58" s="430"/>
      <c r="D58" s="430"/>
      <c r="E58" s="417"/>
      <c r="F58" s="417" t="s">
        <v>17</v>
      </c>
      <c r="G58" s="417">
        <f>(14.01+19.81+12.14+9.01)/4</f>
        <v>13.7425</v>
      </c>
      <c r="H58" s="432">
        <f>G58/100</f>
        <v>0.13742499999999999</v>
      </c>
      <c r="I58" s="417"/>
      <c r="J58" s="417"/>
      <c r="K58" s="417"/>
      <c r="L58" s="417"/>
      <c r="M58" s="417"/>
      <c r="N58" s="417"/>
      <c r="O58" s="417"/>
      <c r="P58" s="417"/>
      <c r="Q58" s="417"/>
      <c r="R58" s="417"/>
      <c r="S58" s="417"/>
      <c r="T58" s="417"/>
      <c r="U58" s="417"/>
      <c r="V58" s="417"/>
    </row>
    <row r="59" spans="1:22" s="428" customFormat="1">
      <c r="B59" s="425"/>
      <c r="C59" s="430"/>
      <c r="D59" s="430"/>
      <c r="E59" s="417"/>
      <c r="F59" s="417" t="s">
        <v>148</v>
      </c>
      <c r="G59" s="417"/>
      <c r="H59" s="433">
        <f>100%-H56-H57-H58</f>
        <v>0.108575</v>
      </c>
      <c r="I59" s="417"/>
      <c r="J59" s="417"/>
      <c r="K59" s="417"/>
      <c r="L59" s="417"/>
      <c r="M59" s="417"/>
      <c r="N59" s="417"/>
      <c r="O59" s="417"/>
      <c r="P59" s="417"/>
      <c r="Q59" s="417"/>
      <c r="R59" s="417"/>
      <c r="S59" s="417"/>
      <c r="T59" s="417"/>
      <c r="U59" s="417"/>
      <c r="V59" s="417"/>
    </row>
    <row r="60" spans="1:22" s="428" customFormat="1">
      <c r="B60" s="425"/>
      <c r="C60" s="430"/>
      <c r="D60" s="430"/>
      <c r="E60" s="417"/>
      <c r="F60" s="417"/>
      <c r="G60" s="417"/>
      <c r="H60" s="433">
        <f>SUM(H56:H59)</f>
        <v>1</v>
      </c>
      <c r="I60" s="417"/>
      <c r="J60" s="417"/>
      <c r="K60" s="417"/>
      <c r="L60" s="417"/>
      <c r="M60" s="417"/>
      <c r="N60" s="417"/>
      <c r="O60" s="417"/>
      <c r="P60" s="417"/>
      <c r="Q60" s="417"/>
      <c r="R60" s="417"/>
      <c r="S60" s="417"/>
      <c r="T60" s="417"/>
      <c r="U60" s="417"/>
      <c r="V60" s="417"/>
    </row>
    <row r="61" spans="1:22" s="428" customFormat="1">
      <c r="B61" s="425"/>
      <c r="C61" s="430"/>
      <c r="D61" s="430"/>
      <c r="E61" s="417"/>
      <c r="F61" s="417"/>
      <c r="G61" s="417"/>
      <c r="H61" s="417"/>
      <c r="I61" s="417"/>
      <c r="J61" s="417"/>
      <c r="K61" s="417"/>
      <c r="L61" s="417"/>
      <c r="M61" s="417"/>
      <c r="N61" s="417"/>
      <c r="O61" s="417"/>
      <c r="P61" s="417"/>
      <c r="Q61" s="417"/>
      <c r="R61" s="417"/>
      <c r="S61" s="417"/>
      <c r="T61" s="417"/>
      <c r="U61" s="417"/>
      <c r="V61" s="417"/>
    </row>
    <row r="62" spans="1:22" s="428" customFormat="1">
      <c r="B62" s="425"/>
      <c r="C62" s="430"/>
      <c r="D62" s="430"/>
      <c r="E62" s="417"/>
      <c r="F62" s="417"/>
      <c r="G62" s="417"/>
      <c r="H62" s="417"/>
      <c r="I62" s="417"/>
      <c r="J62" s="417"/>
      <c r="K62" s="417"/>
      <c r="L62" s="417"/>
      <c r="M62" s="417"/>
      <c r="N62" s="417"/>
      <c r="O62" s="417"/>
      <c r="P62" s="417"/>
      <c r="Q62" s="417"/>
      <c r="R62" s="417"/>
      <c r="S62" s="417"/>
      <c r="T62" s="417"/>
      <c r="U62" s="417"/>
      <c r="V62" s="417"/>
    </row>
    <row r="63" spans="1:22" s="428" customFormat="1">
      <c r="B63" s="425"/>
      <c r="C63" s="430"/>
      <c r="D63" s="430"/>
      <c r="E63" s="417"/>
      <c r="F63" s="417"/>
      <c r="G63" s="417"/>
      <c r="H63" s="417"/>
      <c r="I63" s="417"/>
      <c r="J63" s="417"/>
      <c r="K63" s="417"/>
      <c r="L63" s="417"/>
      <c r="M63" s="417"/>
      <c r="N63" s="417"/>
      <c r="O63" s="417"/>
      <c r="P63" s="417"/>
      <c r="Q63" s="417"/>
      <c r="R63" s="417"/>
      <c r="S63" s="417"/>
      <c r="T63" s="417"/>
      <c r="U63" s="417"/>
      <c r="V63" s="417"/>
    </row>
    <row r="64" spans="1:22" s="428" customFormat="1">
      <c r="B64" s="425"/>
      <c r="C64" s="430"/>
      <c r="D64" s="430"/>
      <c r="E64" s="417"/>
      <c r="F64" s="417"/>
      <c r="G64" s="417"/>
      <c r="H64" s="417"/>
      <c r="I64" s="417"/>
      <c r="J64" s="417"/>
      <c r="K64" s="417"/>
      <c r="L64" s="417"/>
      <c r="M64" s="417"/>
      <c r="N64" s="417"/>
      <c r="O64" s="417"/>
      <c r="P64" s="417"/>
      <c r="Q64" s="417"/>
      <c r="R64" s="417"/>
      <c r="S64" s="417"/>
      <c r="T64" s="417"/>
      <c r="U64" s="417"/>
      <c r="V64" s="417"/>
    </row>
    <row r="65" spans="1:22" s="428" customFormat="1">
      <c r="B65" s="425"/>
      <c r="C65" s="430"/>
      <c r="D65" s="430"/>
      <c r="E65" s="417"/>
      <c r="F65" s="417"/>
      <c r="G65" s="417"/>
      <c r="H65" s="417"/>
      <c r="I65" s="417"/>
      <c r="J65" s="417"/>
      <c r="K65" s="417"/>
      <c r="L65" s="417"/>
      <c r="M65" s="417"/>
      <c r="N65" s="417"/>
      <c r="O65" s="417"/>
      <c r="P65" s="417"/>
      <c r="Q65" s="417"/>
      <c r="R65" s="417"/>
      <c r="S65" s="417"/>
      <c r="T65" s="417"/>
      <c r="U65" s="417"/>
      <c r="V65" s="417"/>
    </row>
    <row r="66" spans="1:22" s="428" customFormat="1">
      <c r="B66" s="417"/>
      <c r="C66" s="417"/>
      <c r="D66" s="417"/>
      <c r="E66" s="417"/>
      <c r="F66" s="417"/>
      <c r="G66" s="417"/>
      <c r="H66" s="417"/>
      <c r="I66" s="417"/>
      <c r="J66" s="417"/>
      <c r="K66" s="417"/>
      <c r="L66" s="417"/>
      <c r="M66" s="417"/>
      <c r="N66" s="417"/>
      <c r="O66" s="417"/>
      <c r="P66" s="417"/>
      <c r="Q66" s="417"/>
      <c r="R66" s="417"/>
      <c r="S66" s="417"/>
      <c r="T66" s="417"/>
      <c r="U66" s="417"/>
      <c r="V66" s="417"/>
    </row>
    <row r="67" spans="1:22" s="428" customFormat="1">
      <c r="B67" s="417"/>
      <c r="C67" s="417"/>
      <c r="D67" s="417"/>
      <c r="E67" s="417"/>
      <c r="F67" s="417"/>
      <c r="G67" s="417"/>
      <c r="H67" s="417"/>
      <c r="I67" s="417"/>
      <c r="J67" s="417"/>
      <c r="K67" s="417"/>
      <c r="L67" s="417"/>
      <c r="M67" s="417"/>
      <c r="N67" s="417"/>
      <c r="O67" s="417"/>
      <c r="P67" s="417"/>
      <c r="Q67" s="417"/>
      <c r="R67" s="417"/>
      <c r="S67" s="417"/>
      <c r="T67" s="417"/>
      <c r="U67" s="417"/>
      <c r="V67" s="417"/>
    </row>
    <row r="68" spans="1:22" s="428" customFormat="1"/>
    <row r="69" spans="1:22" s="428" customFormat="1"/>
    <row r="70" spans="1:22" s="428" customFormat="1"/>
    <row r="71" spans="1:22" s="428" customFormat="1"/>
    <row r="72" spans="1:22" s="428" customFormat="1"/>
    <row r="73" spans="1:22" s="428" customFormat="1"/>
    <row r="74" spans="1:22" s="428" customFormat="1"/>
    <row r="75" spans="1:22" s="428" customFormat="1"/>
    <row r="76" spans="1:22" s="428" customFormat="1"/>
    <row r="77" spans="1:22" s="428" customFormat="1"/>
    <row r="78" spans="1:22" s="428" customFormat="1"/>
    <row r="79" spans="1:22" s="428" customFormat="1" ht="14.25">
      <c r="A79" s="434">
        <v>8</v>
      </c>
      <c r="B79" s="417" t="s">
        <v>309</v>
      </c>
    </row>
    <row r="80" spans="1:22" s="428" customFormat="1"/>
    <row r="81" s="428" customFormat="1"/>
    <row r="82" s="428" customFormat="1"/>
    <row r="83" s="428" customFormat="1"/>
    <row r="84" s="428" customFormat="1"/>
  </sheetData>
  <sheetProtection sheet="1" objects="1" scenarios="1"/>
  <conditionalFormatting sqref="C49:D49">
    <cfRule type="dataBar" priority="6">
      <dataBar>
        <cfvo type="min"/>
        <cfvo type="max"/>
        <color rgb="FFFFB628"/>
      </dataBar>
      <extLst>
        <ext xmlns:x14="http://schemas.microsoft.com/office/spreadsheetml/2009/9/main" uri="{B025F937-C7B1-47D3-B67F-A62EFF666E3E}">
          <x14:id>{A3D1370B-6493-41A1-9300-E94D18BCE031}</x14:id>
        </ext>
      </extLst>
    </cfRule>
  </conditionalFormatting>
  <conditionalFormatting sqref="C58:D65">
    <cfRule type="dataBar" priority="5">
      <dataBar>
        <cfvo type="min"/>
        <cfvo type="max"/>
        <color rgb="FFFF555A"/>
      </dataBar>
      <extLst>
        <ext xmlns:x14="http://schemas.microsoft.com/office/spreadsheetml/2009/9/main" uri="{B025F937-C7B1-47D3-B67F-A62EFF666E3E}">
          <x14:id>{47032BE8-28A7-4036-8596-CD7BB91F65E6}</x14:id>
        </ext>
      </extLst>
    </cfRule>
  </conditionalFormatting>
  <hyperlinks>
    <hyperlink ref="B53" r:id="rId1" display="https://www.moew.government.bg/static/media/ups/tiny/filebase/Waste/EEO/Electrical_product_material_composition_overview.pdf" xr:uid="{5BCE4D1E-0D76-492E-B0FE-7751CF1CAAB9}"/>
  </hyperlinks>
  <pageMargins left="0.7" right="0.7" top="0.75" bottom="0.75" header="0.3" footer="0.3"/>
  <pageSetup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dataBar" id="{A3D1370B-6493-41A1-9300-E94D18BCE031}">
            <x14:dataBar minLength="0" maxLength="100" gradient="0">
              <x14:cfvo type="autoMin"/>
              <x14:cfvo type="autoMax"/>
              <x14:negativeFillColor rgb="FFFF0000"/>
              <x14:axisColor rgb="FF000000"/>
            </x14:dataBar>
          </x14:cfRule>
          <xm:sqref>C49:D49</xm:sqref>
        </x14:conditionalFormatting>
        <x14:conditionalFormatting xmlns:xm="http://schemas.microsoft.com/office/excel/2006/main">
          <x14:cfRule type="dataBar" id="{47032BE8-28A7-4036-8596-CD7BB91F65E6}">
            <x14:dataBar minLength="0" maxLength="100" gradient="0">
              <x14:cfvo type="autoMin"/>
              <x14:cfvo type="autoMax"/>
              <x14:negativeFillColor rgb="FFFF0000"/>
              <x14:axisColor rgb="FF000000"/>
            </x14:dataBar>
          </x14:cfRule>
          <xm:sqref>C58:D65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F9605-EC52-4824-9918-163A6D792EC1}">
  <sheetPr>
    <tabColor theme="5"/>
  </sheetPr>
  <dimension ref="A1:V148"/>
  <sheetViews>
    <sheetView workbookViewId="0">
      <selection activeCell="O27" sqref="O27"/>
    </sheetView>
  </sheetViews>
  <sheetFormatPr defaultRowHeight="12.75"/>
  <cols>
    <col min="2" max="2" width="22.140625" customWidth="1"/>
    <col min="3" max="3" width="20.28515625" customWidth="1"/>
    <col min="4" max="4" width="16.5703125" customWidth="1"/>
    <col min="5" max="5" width="10.140625" customWidth="1"/>
    <col min="6" max="6" width="11.28515625" customWidth="1"/>
    <col min="7" max="7" width="12.28515625" customWidth="1"/>
    <col min="8" max="8" width="12" customWidth="1"/>
    <col min="15" max="15" width="17.140625" customWidth="1"/>
    <col min="16" max="16" width="10" bestFit="1" customWidth="1"/>
    <col min="23" max="23" width="15" customWidth="1"/>
    <col min="24" max="24" width="11.5703125" customWidth="1"/>
  </cols>
  <sheetData>
    <row r="1" spans="1:22">
      <c r="A1" s="130"/>
      <c r="B1" s="130"/>
      <c r="C1" s="130"/>
      <c r="D1" s="130"/>
      <c r="E1" s="130"/>
      <c r="F1" s="130"/>
      <c r="G1" s="130"/>
      <c r="H1" s="130"/>
      <c r="I1" s="130"/>
      <c r="J1" s="130"/>
      <c r="K1" s="130"/>
      <c r="L1" s="130"/>
      <c r="M1" s="130"/>
      <c r="N1" s="130"/>
      <c r="O1" s="130"/>
      <c r="P1" s="130"/>
      <c r="Q1" s="130"/>
      <c r="R1" s="130"/>
      <c r="S1" s="130"/>
      <c r="T1" s="130"/>
      <c r="U1" s="130"/>
      <c r="V1" s="130"/>
    </row>
    <row r="2" spans="1:22">
      <c r="A2" s="130"/>
      <c r="B2" s="130"/>
      <c r="C2" s="130"/>
      <c r="D2" s="130"/>
      <c r="E2" s="130"/>
      <c r="F2" s="130"/>
      <c r="G2" s="130"/>
      <c r="H2" s="130"/>
      <c r="I2" s="130"/>
      <c r="J2" s="130"/>
      <c r="K2" s="130"/>
      <c r="L2" s="130"/>
      <c r="M2" s="130"/>
      <c r="N2" s="130"/>
      <c r="O2" s="130"/>
      <c r="P2" s="130"/>
      <c r="Q2" s="130"/>
      <c r="R2" s="130"/>
      <c r="S2" s="130"/>
      <c r="T2" s="130"/>
      <c r="U2" s="130"/>
      <c r="V2" s="130"/>
    </row>
    <row r="3" spans="1:22">
      <c r="A3" s="130"/>
      <c r="B3" s="130"/>
      <c r="C3" s="130"/>
      <c r="D3" s="130"/>
      <c r="E3" s="130"/>
      <c r="F3" s="130"/>
      <c r="G3" s="130"/>
      <c r="H3" s="130"/>
      <c r="I3" s="130"/>
      <c r="J3" s="130"/>
      <c r="K3" s="130"/>
      <c r="L3" s="130"/>
      <c r="M3" s="130"/>
      <c r="N3" s="130"/>
      <c r="O3" s="130"/>
      <c r="P3" s="130"/>
      <c r="Q3" s="130"/>
      <c r="R3" s="130"/>
      <c r="S3" s="130"/>
      <c r="T3" s="130"/>
      <c r="U3" s="130"/>
      <c r="V3" s="130"/>
    </row>
    <row r="4" spans="1:22">
      <c r="A4" s="130"/>
      <c r="B4" s="130"/>
      <c r="C4" s="130"/>
      <c r="D4" s="130"/>
      <c r="E4" s="130"/>
      <c r="F4" s="130"/>
      <c r="G4" s="130"/>
      <c r="H4" s="130"/>
      <c r="I4" s="130"/>
      <c r="J4" s="130"/>
      <c r="K4" s="130"/>
      <c r="L4" s="130"/>
      <c r="M4" s="130"/>
      <c r="N4" s="130"/>
      <c r="O4" s="130"/>
      <c r="P4" s="130"/>
      <c r="Q4" s="130"/>
      <c r="R4" s="130"/>
      <c r="S4" s="130"/>
      <c r="T4" s="130"/>
      <c r="U4" s="130"/>
      <c r="V4" s="130"/>
    </row>
    <row r="5" spans="1:22">
      <c r="A5" s="130"/>
      <c r="B5" s="130"/>
      <c r="C5" s="130"/>
      <c r="D5" s="130"/>
      <c r="E5" s="130"/>
      <c r="F5" s="130"/>
      <c r="G5" s="130"/>
      <c r="H5" s="130"/>
      <c r="I5" s="130"/>
      <c r="J5" s="130"/>
      <c r="K5" s="130"/>
      <c r="L5" s="130"/>
      <c r="M5" s="130"/>
      <c r="N5" s="130"/>
      <c r="O5" s="130"/>
      <c r="P5" s="130"/>
      <c r="Q5" s="130"/>
      <c r="R5" s="130"/>
      <c r="S5" s="130"/>
      <c r="T5" s="130"/>
      <c r="U5" s="130"/>
      <c r="V5" s="130"/>
    </row>
    <row r="6" spans="1:22">
      <c r="A6" s="130"/>
      <c r="B6" s="130"/>
      <c r="C6" s="130"/>
      <c r="D6" s="130"/>
      <c r="E6" s="130"/>
      <c r="F6" s="130"/>
      <c r="G6" s="130"/>
      <c r="H6" s="130"/>
      <c r="I6" s="130"/>
      <c r="J6" s="130"/>
      <c r="K6" s="130"/>
      <c r="L6" s="130"/>
      <c r="M6" s="130"/>
      <c r="N6" s="130"/>
      <c r="O6" s="130"/>
      <c r="P6" s="130"/>
      <c r="Q6" s="130"/>
      <c r="R6" s="130"/>
      <c r="S6" s="130"/>
      <c r="T6" s="130"/>
      <c r="U6" s="130"/>
      <c r="V6" s="130"/>
    </row>
    <row r="7" spans="1:22">
      <c r="A7" s="130"/>
      <c r="B7" s="130"/>
      <c r="C7" s="130"/>
      <c r="D7" s="130"/>
      <c r="E7" s="130"/>
      <c r="F7" s="130"/>
      <c r="G7" s="130"/>
      <c r="H7" s="130"/>
      <c r="I7" s="130"/>
      <c r="J7" s="130"/>
      <c r="K7" s="130"/>
      <c r="L7" s="130"/>
      <c r="M7" s="130"/>
      <c r="N7" s="130"/>
      <c r="O7" s="130"/>
      <c r="P7" s="130"/>
      <c r="Q7" s="130"/>
      <c r="R7" s="130"/>
      <c r="S7" s="130"/>
      <c r="T7" s="130"/>
      <c r="U7" s="130"/>
      <c r="V7" s="130"/>
    </row>
    <row r="8" spans="1:22">
      <c r="A8" s="130"/>
      <c r="B8" s="130"/>
      <c r="C8" s="130"/>
      <c r="D8" s="130"/>
      <c r="E8" s="130"/>
      <c r="F8" s="130"/>
      <c r="G8" s="130"/>
      <c r="H8" s="130"/>
      <c r="I8" s="130"/>
      <c r="J8" s="130"/>
      <c r="K8" s="130"/>
      <c r="L8" s="130"/>
      <c r="M8" s="130"/>
      <c r="N8" s="130"/>
      <c r="O8" s="130"/>
      <c r="P8" s="130"/>
      <c r="Q8" s="130"/>
      <c r="R8" s="130"/>
      <c r="S8" s="130"/>
      <c r="T8" s="130"/>
      <c r="U8" s="130"/>
      <c r="V8" s="130"/>
    </row>
    <row r="9" spans="1:22">
      <c r="A9" s="130"/>
      <c r="B9" s="130"/>
      <c r="C9" s="130"/>
      <c r="D9" s="130"/>
      <c r="E9" s="130"/>
      <c r="F9" s="130"/>
      <c r="G9" s="130"/>
      <c r="H9" s="130"/>
      <c r="I9" s="130"/>
      <c r="J9" s="130"/>
      <c r="K9" s="130"/>
      <c r="L9" s="130"/>
      <c r="M9" s="130"/>
      <c r="N9" s="130"/>
      <c r="O9" s="130"/>
      <c r="P9" s="130"/>
      <c r="Q9" s="130"/>
      <c r="R9" s="130"/>
      <c r="S9" s="130"/>
      <c r="T9" s="130"/>
      <c r="U9" s="130"/>
      <c r="V9" s="130"/>
    </row>
    <row r="10" spans="1:22">
      <c r="A10" s="130"/>
      <c r="B10" s="130"/>
      <c r="C10" s="130"/>
      <c r="D10" s="130"/>
      <c r="E10" s="130"/>
      <c r="F10" s="130"/>
      <c r="G10" s="130"/>
      <c r="H10" s="130"/>
      <c r="I10" s="130"/>
      <c r="J10" s="130"/>
      <c r="K10" s="130"/>
      <c r="L10" s="130"/>
      <c r="M10" s="130"/>
      <c r="N10" s="130"/>
      <c r="O10" s="130"/>
      <c r="P10" s="130"/>
      <c r="Q10" s="130"/>
      <c r="R10" s="130"/>
      <c r="S10" s="130"/>
      <c r="T10" s="130"/>
      <c r="U10" s="130"/>
      <c r="V10" s="130"/>
    </row>
    <row r="11" spans="1:22">
      <c r="A11" s="130"/>
      <c r="B11" s="130"/>
      <c r="C11" s="130"/>
      <c r="D11" s="130"/>
      <c r="E11" s="130"/>
      <c r="F11" s="130"/>
      <c r="G11" s="130"/>
      <c r="H11" s="130"/>
      <c r="I11" s="130"/>
      <c r="J11" s="130"/>
      <c r="K11" s="130"/>
      <c r="L11" s="130"/>
      <c r="M11" s="130"/>
      <c r="N11" s="130"/>
      <c r="O11" s="130"/>
      <c r="P11" s="130"/>
      <c r="Q11" s="130"/>
      <c r="R11" s="130"/>
      <c r="S11" s="130"/>
      <c r="T11" s="130"/>
      <c r="U11" s="130"/>
      <c r="V11" s="130"/>
    </row>
    <row r="12" spans="1:22">
      <c r="A12" s="130"/>
      <c r="B12" s="130"/>
      <c r="C12" s="130"/>
      <c r="D12" s="130"/>
      <c r="E12" s="130"/>
      <c r="F12" s="130"/>
      <c r="G12" s="130"/>
      <c r="H12" s="130"/>
      <c r="I12" s="130"/>
      <c r="J12" s="130"/>
      <c r="K12" s="130"/>
      <c r="L12" s="130"/>
      <c r="M12" s="130"/>
      <c r="N12" s="130"/>
      <c r="O12" s="130"/>
      <c r="P12" s="130"/>
      <c r="Q12" s="130"/>
      <c r="R12" s="130"/>
      <c r="S12" s="130"/>
      <c r="T12" s="130"/>
      <c r="U12" s="130"/>
      <c r="V12" s="130"/>
    </row>
    <row r="13" spans="1:22">
      <c r="A13" s="130"/>
      <c r="B13" s="130"/>
      <c r="C13" s="130"/>
      <c r="D13" s="130"/>
      <c r="E13" s="252"/>
      <c r="F13" s="130"/>
      <c r="G13" s="253"/>
      <c r="H13" s="130"/>
      <c r="I13" s="130"/>
      <c r="J13" s="130"/>
      <c r="K13" s="130"/>
      <c r="L13" s="130"/>
      <c r="M13" s="130"/>
      <c r="N13" s="130"/>
      <c r="O13" s="130"/>
      <c r="P13" s="130"/>
      <c r="Q13" s="130"/>
      <c r="R13" s="130"/>
      <c r="S13" s="130"/>
      <c r="T13" s="130"/>
      <c r="U13" s="130"/>
      <c r="V13" s="130"/>
    </row>
    <row r="14" spans="1:22">
      <c r="A14" s="130"/>
      <c r="B14" s="130"/>
      <c r="C14" s="130"/>
      <c r="D14" s="130"/>
      <c r="E14" s="130"/>
      <c r="F14" s="130"/>
      <c r="G14" s="130"/>
      <c r="H14" s="130"/>
      <c r="I14" s="130"/>
      <c r="J14" s="130"/>
      <c r="K14" s="130"/>
      <c r="L14" s="130"/>
      <c r="M14" s="130"/>
      <c r="N14" s="130"/>
      <c r="O14" s="130"/>
      <c r="P14" s="130"/>
      <c r="Q14" s="130"/>
      <c r="R14" s="130"/>
      <c r="S14" s="130"/>
      <c r="T14" s="130"/>
      <c r="U14" s="130"/>
      <c r="V14" s="130"/>
    </row>
    <row r="15" spans="1:22">
      <c r="A15" s="130"/>
      <c r="B15" s="130"/>
      <c r="C15" s="130"/>
      <c r="D15" s="130"/>
      <c r="E15" s="130"/>
      <c r="F15" s="130"/>
      <c r="G15" s="130"/>
      <c r="H15" s="130"/>
      <c r="I15" s="130"/>
      <c r="J15" s="130"/>
      <c r="K15" s="130"/>
      <c r="L15" s="130"/>
      <c r="M15" s="130"/>
      <c r="N15" s="130"/>
      <c r="O15" s="130"/>
      <c r="P15" s="130"/>
      <c r="Q15" s="130"/>
      <c r="R15" s="130"/>
      <c r="S15" s="130"/>
      <c r="T15" s="130"/>
      <c r="U15" s="130"/>
      <c r="V15" s="130"/>
    </row>
    <row r="16" spans="1:22">
      <c r="A16" s="130"/>
      <c r="B16" s="254" t="s">
        <v>31</v>
      </c>
      <c r="C16" s="254" t="s">
        <v>4</v>
      </c>
      <c r="D16" s="255" t="s">
        <v>32</v>
      </c>
      <c r="E16" s="130"/>
      <c r="F16" s="130"/>
      <c r="G16" s="130"/>
      <c r="H16" s="130"/>
      <c r="I16" s="130"/>
      <c r="J16" s="130"/>
      <c r="K16" s="130"/>
      <c r="L16" s="130"/>
      <c r="M16" s="130"/>
      <c r="N16" s="130"/>
      <c r="O16" s="130"/>
      <c r="P16" s="130"/>
      <c r="Q16" s="130"/>
      <c r="R16" s="130"/>
      <c r="S16" s="130"/>
      <c r="T16" s="130"/>
      <c r="U16" s="130"/>
      <c r="V16" s="130"/>
    </row>
    <row r="17" spans="1:22">
      <c r="A17" s="130"/>
      <c r="B17" s="256">
        <v>1.9353404000000001</v>
      </c>
      <c r="C17" s="257" t="s">
        <v>34</v>
      </c>
      <c r="D17" s="130" t="s">
        <v>33</v>
      </c>
      <c r="E17" s="130"/>
      <c r="F17" s="130"/>
      <c r="G17" s="130"/>
      <c r="H17" s="130"/>
      <c r="I17" s="130"/>
      <c r="J17" s="130"/>
      <c r="K17" s="130"/>
      <c r="L17" s="130"/>
      <c r="M17" s="130"/>
      <c r="N17" s="130"/>
      <c r="O17" s="130"/>
      <c r="P17" s="130"/>
      <c r="Q17" s="130"/>
      <c r="R17" s="130"/>
      <c r="S17" s="130"/>
      <c r="T17" s="130"/>
      <c r="U17" s="130"/>
      <c r="V17" s="130"/>
    </row>
    <row r="18" spans="1:22">
      <c r="A18" s="130"/>
      <c r="B18" s="256">
        <v>5.1103769000000003</v>
      </c>
      <c r="C18" s="257" t="s">
        <v>34</v>
      </c>
      <c r="D18" s="130" t="s">
        <v>42</v>
      </c>
      <c r="E18" s="130"/>
      <c r="F18" s="130"/>
      <c r="G18" s="130"/>
      <c r="H18" s="130"/>
      <c r="I18" s="130"/>
      <c r="J18" s="130"/>
      <c r="K18" s="130"/>
      <c r="L18" s="130"/>
      <c r="M18" s="130"/>
      <c r="N18" s="130"/>
      <c r="O18" s="130"/>
      <c r="P18" s="130"/>
      <c r="Q18" s="130"/>
      <c r="R18" s="130"/>
      <c r="S18" s="130"/>
      <c r="T18" s="130"/>
      <c r="U18" s="130"/>
      <c r="V18" s="130"/>
    </row>
    <row r="19" spans="1:22">
      <c r="A19" s="130"/>
      <c r="B19" s="256">
        <v>0.28430034999999998</v>
      </c>
      <c r="C19" s="257" t="s">
        <v>34</v>
      </c>
      <c r="D19" s="130" t="s">
        <v>43</v>
      </c>
      <c r="E19" s="130"/>
      <c r="F19" s="130"/>
      <c r="G19" s="130"/>
      <c r="H19" s="130"/>
      <c r="I19" s="130"/>
      <c r="J19" s="130"/>
      <c r="K19" s="130"/>
      <c r="L19" s="130"/>
      <c r="M19" s="130"/>
      <c r="N19" s="130"/>
      <c r="O19" s="130"/>
      <c r="P19" s="130"/>
      <c r="Q19" s="130"/>
      <c r="R19" s="130"/>
      <c r="S19" s="130"/>
      <c r="T19" s="130"/>
      <c r="U19" s="130"/>
      <c r="V19" s="130"/>
    </row>
    <row r="20" spans="1:22">
      <c r="A20" s="130"/>
      <c r="B20" s="256">
        <v>0.36601214999999998</v>
      </c>
      <c r="C20" s="257" t="s">
        <v>34</v>
      </c>
      <c r="D20" s="130" t="s">
        <v>44</v>
      </c>
      <c r="E20" s="130"/>
      <c r="F20" s="130"/>
      <c r="G20" s="130"/>
      <c r="H20" s="130"/>
      <c r="I20" s="130"/>
      <c r="J20" s="130"/>
      <c r="K20" s="130"/>
      <c r="L20" s="130"/>
      <c r="M20" s="130"/>
      <c r="N20" s="130"/>
      <c r="O20" s="130"/>
      <c r="P20" s="130"/>
      <c r="Q20" s="130"/>
      <c r="R20" s="130"/>
      <c r="S20" s="130"/>
      <c r="T20" s="130"/>
      <c r="U20" s="130"/>
      <c r="V20" s="130"/>
    </row>
    <row r="21" spans="1:22" s="7" customFormat="1">
      <c r="A21" s="258"/>
      <c r="B21" s="259">
        <f>AVERAGE(B17:B18)+AVERAGE(B19:B20)</f>
        <v>3.8480149000000003</v>
      </c>
      <c r="C21" s="260"/>
      <c r="D21" s="261" t="s">
        <v>25</v>
      </c>
      <c r="E21" s="258"/>
      <c r="F21" s="258"/>
      <c r="G21" s="258"/>
      <c r="H21" s="258"/>
      <c r="I21" s="258"/>
      <c r="J21" s="258"/>
      <c r="K21" s="258"/>
      <c r="L21" s="258"/>
      <c r="M21" s="258"/>
      <c r="N21" s="258"/>
      <c r="O21" s="258"/>
      <c r="P21" s="258"/>
      <c r="Q21" s="258"/>
      <c r="R21" s="258"/>
      <c r="S21" s="258"/>
      <c r="T21" s="258"/>
      <c r="U21" s="258"/>
      <c r="V21" s="258"/>
    </row>
    <row r="22" spans="1:22">
      <c r="A22" s="130"/>
      <c r="B22" s="256">
        <v>5.7311002000000002</v>
      </c>
      <c r="C22" s="257" t="s">
        <v>34</v>
      </c>
      <c r="D22" s="130" t="s">
        <v>45</v>
      </c>
      <c r="E22" s="130"/>
      <c r="F22" s="130"/>
      <c r="G22" s="130"/>
      <c r="H22" s="130"/>
      <c r="I22" s="130"/>
      <c r="J22" s="130"/>
      <c r="K22" s="130"/>
      <c r="L22" s="130"/>
      <c r="M22" s="130"/>
      <c r="N22" s="130"/>
      <c r="O22" s="130"/>
      <c r="P22" s="130"/>
      <c r="Q22" s="130"/>
      <c r="R22" s="130"/>
      <c r="S22" s="130"/>
      <c r="T22" s="130"/>
      <c r="U22" s="130"/>
      <c r="V22" s="130"/>
    </row>
    <row r="23" spans="1:22">
      <c r="A23" s="130"/>
      <c r="B23" s="256">
        <v>13.930484999999999</v>
      </c>
      <c r="C23" s="257" t="s">
        <v>34</v>
      </c>
      <c r="D23" s="130" t="s">
        <v>46</v>
      </c>
      <c r="E23" s="130"/>
      <c r="F23" s="130"/>
      <c r="G23" s="130"/>
      <c r="H23" s="130"/>
      <c r="I23" s="130"/>
      <c r="J23" s="130"/>
      <c r="K23" s="130"/>
      <c r="L23" s="130"/>
      <c r="M23" s="130"/>
      <c r="N23" s="130"/>
      <c r="O23" s="130"/>
      <c r="P23" s="130"/>
      <c r="Q23" s="130"/>
      <c r="R23" s="130"/>
      <c r="S23" s="130"/>
      <c r="T23" s="130"/>
      <c r="U23" s="130"/>
      <c r="V23" s="130"/>
    </row>
    <row r="24" spans="1:22">
      <c r="A24" s="130"/>
      <c r="B24" s="256">
        <v>1.8308593</v>
      </c>
      <c r="C24" s="257" t="s">
        <v>34</v>
      </c>
      <c r="D24" s="130" t="s">
        <v>47</v>
      </c>
      <c r="E24" s="130"/>
      <c r="F24" s="130"/>
      <c r="G24" s="130"/>
      <c r="H24" s="130"/>
      <c r="I24" s="130"/>
      <c r="J24" s="130"/>
      <c r="K24" s="130"/>
      <c r="L24" s="130"/>
      <c r="M24" s="130"/>
      <c r="N24" s="130"/>
      <c r="O24" s="130"/>
      <c r="P24" s="130"/>
      <c r="Q24" s="130"/>
      <c r="R24" s="130"/>
      <c r="S24" s="130"/>
      <c r="T24" s="130"/>
      <c r="U24" s="130"/>
      <c r="V24" s="130"/>
    </row>
    <row r="25" spans="1:22" s="7" customFormat="1">
      <c r="A25" s="258"/>
      <c r="B25" s="259">
        <f>AVERAGE(B22:B23)+B24</f>
        <v>11.661651899999999</v>
      </c>
      <c r="C25" s="260"/>
      <c r="D25" s="261" t="s">
        <v>17</v>
      </c>
      <c r="E25" s="258"/>
      <c r="F25" s="258"/>
      <c r="G25" s="258"/>
      <c r="H25" s="258"/>
      <c r="I25" s="258"/>
      <c r="J25" s="258"/>
      <c r="K25" s="258"/>
      <c r="L25" s="258"/>
      <c r="M25" s="258"/>
      <c r="N25" s="258"/>
      <c r="O25" s="258"/>
      <c r="P25" s="258"/>
      <c r="Q25" s="258"/>
      <c r="R25" s="258"/>
      <c r="S25" s="258"/>
      <c r="T25" s="258"/>
      <c r="U25" s="258"/>
      <c r="V25" s="258"/>
    </row>
    <row r="26" spans="1:22">
      <c r="A26" s="130"/>
      <c r="B26" s="256">
        <v>3.5174934000000002</v>
      </c>
      <c r="C26" s="257" t="s">
        <v>34</v>
      </c>
      <c r="D26" s="130" t="s">
        <v>48</v>
      </c>
      <c r="E26" s="130"/>
      <c r="F26" s="130"/>
      <c r="G26" s="130"/>
      <c r="H26" s="130"/>
      <c r="I26" s="130"/>
      <c r="J26" s="130"/>
      <c r="K26" s="130"/>
      <c r="L26" s="130"/>
      <c r="M26" s="130"/>
      <c r="N26" s="130"/>
      <c r="O26" s="130"/>
      <c r="P26" s="130"/>
      <c r="Q26" s="130"/>
      <c r="R26" s="130"/>
      <c r="S26" s="130"/>
      <c r="T26" s="130"/>
      <c r="U26" s="130"/>
      <c r="V26" s="130"/>
    </row>
    <row r="27" spans="1:22">
      <c r="A27" s="130"/>
      <c r="B27" s="256">
        <v>4.6545164999999997</v>
      </c>
      <c r="C27" s="257" t="s">
        <v>34</v>
      </c>
      <c r="D27" s="130" t="s">
        <v>49</v>
      </c>
      <c r="E27" s="130"/>
      <c r="F27" s="130"/>
      <c r="G27" s="130"/>
      <c r="H27" s="130"/>
      <c r="I27" s="130"/>
      <c r="J27" s="130"/>
      <c r="K27" s="130"/>
      <c r="L27" s="130"/>
      <c r="M27" s="130"/>
      <c r="N27" s="130"/>
      <c r="O27" s="130"/>
      <c r="P27" s="130"/>
      <c r="Q27" s="130"/>
      <c r="R27" s="130"/>
      <c r="S27" s="130"/>
      <c r="T27" s="130"/>
      <c r="U27" s="130"/>
      <c r="V27" s="130"/>
    </row>
    <row r="28" spans="1:22">
      <c r="A28" s="130"/>
      <c r="B28" s="256">
        <v>0.42759916999999997</v>
      </c>
      <c r="C28" s="257" t="s">
        <v>34</v>
      </c>
      <c r="D28" s="130" t="s">
        <v>50</v>
      </c>
      <c r="E28" s="130"/>
      <c r="F28" s="130"/>
      <c r="G28" s="130"/>
      <c r="H28" s="130"/>
      <c r="I28" s="130"/>
      <c r="J28" s="130"/>
      <c r="K28" s="130"/>
      <c r="L28" s="130"/>
      <c r="M28" s="130"/>
      <c r="N28" s="130"/>
      <c r="O28" s="130"/>
      <c r="P28" s="130"/>
      <c r="Q28" s="130"/>
      <c r="R28" s="130"/>
      <c r="S28" s="130"/>
      <c r="T28" s="130"/>
      <c r="U28" s="130"/>
      <c r="V28" s="130"/>
    </row>
    <row r="29" spans="1:22">
      <c r="A29" s="130"/>
      <c r="B29" s="256">
        <v>1.3047903000000001</v>
      </c>
      <c r="C29" s="257" t="s">
        <v>34</v>
      </c>
      <c r="D29" s="130" t="s">
        <v>51</v>
      </c>
      <c r="E29" s="130"/>
      <c r="F29" s="130"/>
      <c r="G29" s="130"/>
      <c r="H29" s="130"/>
      <c r="I29" s="130"/>
      <c r="J29" s="130"/>
      <c r="K29" s="130"/>
      <c r="L29" s="130"/>
      <c r="M29" s="130"/>
      <c r="N29" s="130"/>
      <c r="O29" s="130"/>
      <c r="P29" s="130"/>
      <c r="Q29" s="130"/>
      <c r="R29" s="130"/>
      <c r="S29" s="130"/>
      <c r="T29" s="130"/>
      <c r="U29" s="130"/>
      <c r="V29" s="130"/>
    </row>
    <row r="30" spans="1:22" s="7" customFormat="1">
      <c r="A30" s="258"/>
      <c r="B30" s="259">
        <f>AVERAGE(B26:B27)+AVERAGE(B28:B29)</f>
        <v>4.9521996849999992</v>
      </c>
      <c r="C30" s="260"/>
      <c r="D30" s="261" t="s">
        <v>23</v>
      </c>
      <c r="E30" s="258"/>
      <c r="F30" s="258"/>
      <c r="G30" s="258"/>
      <c r="H30" s="258"/>
      <c r="I30" s="258"/>
      <c r="J30" s="258"/>
      <c r="K30" s="258"/>
      <c r="L30" s="258"/>
      <c r="M30" s="258"/>
      <c r="N30" s="258"/>
      <c r="O30" s="258"/>
      <c r="P30" s="258"/>
      <c r="Q30" s="258"/>
      <c r="R30" s="258"/>
      <c r="S30" s="258"/>
      <c r="T30" s="258"/>
      <c r="U30" s="258"/>
      <c r="V30" s="258"/>
    </row>
    <row r="31" spans="1:22">
      <c r="A31" s="130"/>
      <c r="B31" s="256">
        <v>3.3288541999999999</v>
      </c>
      <c r="C31" s="257" t="s">
        <v>34</v>
      </c>
      <c r="D31" s="130" t="s">
        <v>52</v>
      </c>
      <c r="E31" s="130"/>
      <c r="F31" s="130"/>
      <c r="G31" s="130"/>
      <c r="H31" s="130"/>
      <c r="I31" s="130"/>
      <c r="J31" s="130"/>
      <c r="K31" s="130"/>
      <c r="L31" s="130"/>
      <c r="M31" s="130"/>
      <c r="N31" s="130"/>
      <c r="O31" s="130"/>
      <c r="P31" s="130"/>
      <c r="Q31" s="130"/>
      <c r="R31" s="130"/>
      <c r="S31" s="130"/>
      <c r="T31" s="130"/>
      <c r="U31" s="130"/>
      <c r="V31" s="130"/>
    </row>
    <row r="32" spans="1:22">
      <c r="A32" s="130"/>
      <c r="B32" s="256">
        <v>1.6914853000000001</v>
      </c>
      <c r="C32" s="257" t="s">
        <v>34</v>
      </c>
      <c r="D32" s="130" t="s">
        <v>53</v>
      </c>
      <c r="E32" s="130"/>
      <c r="F32" s="130"/>
      <c r="G32" s="130"/>
      <c r="H32" s="130"/>
      <c r="I32" s="130"/>
      <c r="J32" s="130"/>
      <c r="K32" s="130"/>
      <c r="L32" s="130"/>
      <c r="M32" s="130"/>
      <c r="N32" s="130"/>
      <c r="O32" s="130"/>
      <c r="P32" s="130"/>
      <c r="Q32" s="130"/>
      <c r="R32" s="130"/>
      <c r="S32" s="130"/>
      <c r="T32" s="130"/>
      <c r="U32" s="130"/>
      <c r="V32" s="130"/>
    </row>
    <row r="33" spans="1:22" s="7" customFormat="1">
      <c r="A33" s="258"/>
      <c r="B33" s="259">
        <f>SUM(B31:B32)</f>
        <v>5.0203395000000004</v>
      </c>
      <c r="C33" s="260"/>
      <c r="D33" s="261" t="s">
        <v>22</v>
      </c>
      <c r="E33" s="258"/>
      <c r="F33" s="258"/>
      <c r="G33" s="258"/>
      <c r="H33" s="258"/>
      <c r="I33" s="258"/>
      <c r="J33" s="258"/>
      <c r="K33" s="258"/>
      <c r="L33" s="258"/>
      <c r="M33" s="258"/>
      <c r="N33" s="258"/>
      <c r="O33" s="258"/>
      <c r="P33" s="258"/>
      <c r="Q33" s="258"/>
      <c r="R33" s="258"/>
      <c r="S33" s="258"/>
      <c r="T33" s="258"/>
      <c r="U33" s="258"/>
      <c r="V33" s="258"/>
    </row>
    <row r="34" spans="1:22">
      <c r="A34" s="130"/>
      <c r="B34" s="256">
        <f>519.9/684</f>
        <v>0.76008771929824559</v>
      </c>
      <c r="C34" s="257" t="s">
        <v>34</v>
      </c>
      <c r="D34" s="130" t="s">
        <v>175</v>
      </c>
      <c r="E34" s="130"/>
      <c r="F34" s="130"/>
      <c r="G34" s="130"/>
      <c r="H34" s="130"/>
      <c r="I34" s="130"/>
      <c r="J34" s="130"/>
      <c r="K34" s="130"/>
      <c r="L34" s="130"/>
      <c r="M34" s="130"/>
      <c r="N34" s="130"/>
      <c r="O34" s="130"/>
      <c r="P34" s="130"/>
      <c r="Q34" s="130"/>
      <c r="R34" s="130"/>
      <c r="S34" s="130"/>
      <c r="T34" s="130"/>
      <c r="U34" s="130"/>
      <c r="V34" s="130"/>
    </row>
    <row r="35" spans="1:22">
      <c r="A35" s="130"/>
      <c r="B35" s="256">
        <f>615.1/684</f>
        <v>0.89926900584795322</v>
      </c>
      <c r="C35" s="257" t="s">
        <v>177</v>
      </c>
      <c r="D35" s="130" t="s">
        <v>176</v>
      </c>
      <c r="E35" s="130"/>
      <c r="F35" s="130"/>
      <c r="G35" s="130"/>
      <c r="H35" s="130"/>
      <c r="I35" s="130"/>
      <c r="J35" s="130"/>
      <c r="K35" s="130"/>
      <c r="L35" s="130"/>
      <c r="M35" s="130"/>
      <c r="N35" s="130"/>
      <c r="O35" s="130"/>
      <c r="P35" s="130"/>
      <c r="Q35" s="130"/>
      <c r="R35" s="130"/>
      <c r="S35" s="130"/>
      <c r="T35" s="130"/>
      <c r="U35" s="130"/>
      <c r="V35" s="130"/>
    </row>
    <row r="36" spans="1:22" s="6" customFormat="1">
      <c r="A36" s="261"/>
      <c r="B36" s="259">
        <f>AVERAGE(B34:B35)</f>
        <v>0.82967836257309946</v>
      </c>
      <c r="C36" s="262"/>
      <c r="D36" s="261" t="s">
        <v>74</v>
      </c>
      <c r="E36" s="261"/>
      <c r="F36" s="261"/>
      <c r="G36" s="261"/>
      <c r="H36" s="261"/>
      <c r="I36" s="261"/>
      <c r="J36" s="261"/>
      <c r="K36" s="261"/>
      <c r="L36" s="261"/>
      <c r="M36" s="261"/>
      <c r="N36" s="261"/>
      <c r="O36" s="261"/>
      <c r="P36" s="261"/>
      <c r="Q36" s="261"/>
      <c r="R36" s="261"/>
      <c r="S36" s="261"/>
      <c r="T36" s="261"/>
      <c r="U36" s="261"/>
      <c r="V36" s="261"/>
    </row>
    <row r="37" spans="1:22">
      <c r="A37" s="130"/>
      <c r="B37" s="256">
        <v>0.16956189999999999</v>
      </c>
      <c r="C37" s="257" t="s">
        <v>68</v>
      </c>
      <c r="D37" s="130" t="s">
        <v>54</v>
      </c>
      <c r="E37" s="130"/>
      <c r="F37" s="130"/>
      <c r="G37" s="130"/>
      <c r="H37" s="130"/>
      <c r="I37" s="130"/>
      <c r="J37" s="130"/>
      <c r="K37" s="130"/>
      <c r="L37" s="130"/>
      <c r="M37" s="130"/>
      <c r="N37" s="130"/>
      <c r="O37" s="130"/>
      <c r="P37" s="130"/>
      <c r="Q37" s="130"/>
      <c r="R37" s="130"/>
      <c r="S37" s="130"/>
      <c r="T37" s="130"/>
      <c r="U37" s="130"/>
      <c r="V37" s="130"/>
    </row>
    <row r="38" spans="1:22">
      <c r="A38" s="130"/>
      <c r="B38" s="256">
        <v>0.1508988</v>
      </c>
      <c r="C38" s="257" t="s">
        <v>69</v>
      </c>
      <c r="D38" s="130" t="s">
        <v>55</v>
      </c>
      <c r="E38" s="130"/>
      <c r="F38" s="130"/>
      <c r="G38" s="130"/>
      <c r="H38" s="130"/>
      <c r="I38" s="130"/>
      <c r="J38" s="130"/>
      <c r="K38" s="130"/>
      <c r="L38" s="130"/>
      <c r="M38" s="130"/>
      <c r="N38" s="130"/>
      <c r="O38" s="130"/>
      <c r="P38" s="130"/>
      <c r="Q38" s="130"/>
      <c r="R38" s="130"/>
      <c r="S38" s="130"/>
      <c r="T38" s="130"/>
      <c r="U38" s="130"/>
      <c r="V38" s="130"/>
    </row>
    <row r="39" spans="1:22">
      <c r="A39" s="130"/>
      <c r="B39" s="256">
        <f>5.29/6.9</f>
        <v>0.76666666666666661</v>
      </c>
      <c r="C39" s="257" t="s">
        <v>34</v>
      </c>
      <c r="D39" s="130" t="s">
        <v>170</v>
      </c>
      <c r="E39" s="130"/>
      <c r="F39" s="130"/>
      <c r="G39" s="130"/>
      <c r="H39" s="130"/>
      <c r="I39" s="130"/>
      <c r="J39" s="130"/>
      <c r="K39" s="130"/>
      <c r="L39" s="130"/>
      <c r="M39" s="130"/>
      <c r="N39" s="130"/>
      <c r="O39" s="130"/>
      <c r="P39" s="130"/>
      <c r="Q39" s="130"/>
      <c r="R39" s="130"/>
      <c r="S39" s="130"/>
      <c r="T39" s="130"/>
      <c r="U39" s="130"/>
      <c r="V39" s="130"/>
    </row>
    <row r="40" spans="1:22">
      <c r="A40" s="130"/>
      <c r="B40" s="256">
        <f>44.57/27.6</f>
        <v>1.614855072463768</v>
      </c>
      <c r="C40" s="257" t="s">
        <v>34</v>
      </c>
      <c r="D40" s="130" t="s">
        <v>171</v>
      </c>
      <c r="E40" s="130"/>
      <c r="F40" s="130"/>
      <c r="G40" s="130"/>
      <c r="H40" s="130"/>
      <c r="I40" s="130"/>
      <c r="J40" s="130"/>
      <c r="K40" s="130"/>
      <c r="L40" s="130"/>
      <c r="M40" s="130"/>
      <c r="N40" s="130"/>
      <c r="O40" s="130"/>
      <c r="P40" s="130"/>
      <c r="Q40" s="130"/>
      <c r="R40" s="130"/>
      <c r="S40" s="130"/>
      <c r="T40" s="130"/>
      <c r="U40" s="130"/>
      <c r="V40" s="130"/>
    </row>
    <row r="41" spans="1:22">
      <c r="A41" s="130"/>
      <c r="B41" s="256">
        <v>2.2799999999999998</v>
      </c>
      <c r="C41" s="257" t="s">
        <v>34</v>
      </c>
      <c r="D41" s="130" t="s">
        <v>174</v>
      </c>
      <c r="E41" s="130"/>
      <c r="F41" s="130"/>
      <c r="G41" s="130"/>
      <c r="H41" s="130"/>
      <c r="I41" s="130"/>
      <c r="J41" s="130"/>
      <c r="K41" s="130"/>
      <c r="L41" s="130"/>
      <c r="M41" s="130"/>
      <c r="N41" s="130"/>
      <c r="O41" s="130"/>
      <c r="P41" s="130"/>
      <c r="Q41" s="130"/>
      <c r="R41" s="130"/>
      <c r="S41" s="130"/>
      <c r="T41" s="130"/>
      <c r="U41" s="130"/>
      <c r="V41" s="130"/>
    </row>
    <row r="42" spans="1:22" s="7" customFormat="1">
      <c r="A42" s="258"/>
      <c r="B42" s="259">
        <f>AVERAGE(B37:B41)</f>
        <v>0.9963964878260867</v>
      </c>
      <c r="C42" s="260"/>
      <c r="D42" s="261" t="s">
        <v>18</v>
      </c>
      <c r="E42" s="258"/>
      <c r="F42" s="258"/>
      <c r="G42" s="258"/>
      <c r="H42" s="258"/>
      <c r="I42" s="258"/>
      <c r="J42" s="258"/>
      <c r="K42" s="258"/>
      <c r="L42" s="258"/>
      <c r="M42" s="258"/>
      <c r="N42" s="258"/>
      <c r="O42" s="258"/>
      <c r="P42" s="258"/>
      <c r="Q42" s="258"/>
      <c r="R42" s="258"/>
      <c r="S42" s="258"/>
      <c r="T42" s="258"/>
      <c r="U42" s="258"/>
      <c r="V42" s="258"/>
    </row>
    <row r="43" spans="1:22">
      <c r="A43" s="130"/>
      <c r="B43" s="256">
        <v>1.0917265</v>
      </c>
      <c r="C43" s="257" t="s">
        <v>34</v>
      </c>
      <c r="D43" s="130" t="s">
        <v>56</v>
      </c>
      <c r="E43" s="130"/>
      <c r="F43" s="130"/>
      <c r="G43" s="130"/>
      <c r="H43" s="130"/>
      <c r="I43" s="130"/>
      <c r="J43" s="130"/>
      <c r="K43" s="130"/>
      <c r="L43" s="130"/>
      <c r="M43" s="130"/>
      <c r="N43" s="130"/>
      <c r="O43" s="130"/>
      <c r="P43" s="130"/>
      <c r="Q43" s="130"/>
      <c r="R43" s="130"/>
      <c r="S43" s="130"/>
      <c r="T43" s="130"/>
      <c r="U43" s="130"/>
      <c r="V43" s="130"/>
    </row>
    <row r="44" spans="1:22" s="7" customFormat="1">
      <c r="A44" s="258"/>
      <c r="B44" s="259">
        <f>B43</f>
        <v>1.0917265</v>
      </c>
      <c r="C44" s="260"/>
      <c r="D44" s="261" t="s">
        <v>19</v>
      </c>
      <c r="E44" s="258"/>
      <c r="F44" s="258"/>
      <c r="G44" s="258"/>
      <c r="H44" s="258"/>
      <c r="I44" s="258"/>
      <c r="J44" s="258"/>
      <c r="K44" s="258"/>
      <c r="L44" s="258"/>
      <c r="M44" s="258"/>
      <c r="N44" s="258"/>
      <c r="O44" s="258"/>
      <c r="P44" s="258"/>
      <c r="Q44" s="258"/>
      <c r="R44" s="258"/>
      <c r="S44" s="258"/>
      <c r="T44" s="258"/>
      <c r="U44" s="258"/>
      <c r="V44" s="258"/>
    </row>
    <row r="45" spans="1:22">
      <c r="A45" s="130"/>
      <c r="B45" s="256">
        <v>1.9730406</v>
      </c>
      <c r="C45" s="257" t="s">
        <v>34</v>
      </c>
      <c r="D45" s="130" t="s">
        <v>67</v>
      </c>
      <c r="E45" s="130"/>
      <c r="F45" s="130"/>
      <c r="G45" s="130"/>
      <c r="H45" s="130"/>
      <c r="I45" s="130"/>
      <c r="J45" s="130"/>
      <c r="K45" s="130"/>
      <c r="L45" s="130"/>
      <c r="M45" s="130"/>
      <c r="N45" s="130"/>
      <c r="O45" s="130"/>
      <c r="P45" s="130"/>
      <c r="Q45" s="130"/>
      <c r="R45" s="130"/>
      <c r="S45" s="130"/>
      <c r="T45" s="130"/>
      <c r="U45" s="130"/>
      <c r="V45" s="130"/>
    </row>
    <row r="46" spans="1:22" s="7" customFormat="1">
      <c r="A46" s="258"/>
      <c r="B46" s="259">
        <f>B45</f>
        <v>1.9730406</v>
      </c>
      <c r="C46" s="260"/>
      <c r="D46" s="261" t="s">
        <v>20</v>
      </c>
      <c r="E46" s="258"/>
      <c r="F46" s="258"/>
      <c r="G46" s="258"/>
      <c r="H46" s="258"/>
      <c r="I46" s="258"/>
      <c r="J46" s="258"/>
      <c r="K46" s="258"/>
      <c r="L46" s="258"/>
      <c r="M46" s="258"/>
      <c r="N46" s="258"/>
      <c r="O46" s="258"/>
      <c r="P46" s="258"/>
      <c r="Q46" s="258"/>
      <c r="R46" s="258"/>
      <c r="S46" s="258"/>
      <c r="T46" s="258"/>
      <c r="U46" s="258"/>
      <c r="V46" s="258"/>
    </row>
    <row r="47" spans="1:22">
      <c r="A47" s="130"/>
      <c r="B47" s="256">
        <v>18.04</v>
      </c>
      <c r="C47" s="257" t="s">
        <v>34</v>
      </c>
      <c r="D47" s="130" t="s">
        <v>268</v>
      </c>
      <c r="E47" s="130"/>
      <c r="F47" s="130"/>
      <c r="G47" s="130"/>
      <c r="H47" s="126" t="s">
        <v>269</v>
      </c>
      <c r="I47" s="130"/>
      <c r="J47" s="130"/>
      <c r="K47" s="130"/>
      <c r="L47" s="130"/>
      <c r="M47" s="130"/>
      <c r="N47" s="130"/>
      <c r="O47" s="130"/>
      <c r="P47" s="130"/>
      <c r="Q47" s="130"/>
      <c r="R47" s="130"/>
      <c r="S47" s="130"/>
      <c r="T47" s="130"/>
      <c r="U47" s="130"/>
      <c r="V47" s="130"/>
    </row>
    <row r="48" spans="1:22" s="7" customFormat="1">
      <c r="A48" s="258"/>
      <c r="B48" s="259">
        <f>B47</f>
        <v>18.04</v>
      </c>
      <c r="C48" s="260"/>
      <c r="D48" s="261" t="s">
        <v>21</v>
      </c>
      <c r="E48" s="258"/>
      <c r="F48" s="258"/>
      <c r="G48" s="258"/>
      <c r="H48" s="258"/>
      <c r="I48" s="258"/>
      <c r="J48" s="258"/>
      <c r="K48" s="258"/>
      <c r="L48" s="258"/>
      <c r="M48" s="258"/>
      <c r="N48" s="258"/>
      <c r="O48" s="258"/>
      <c r="P48" s="258"/>
      <c r="Q48" s="258"/>
      <c r="R48" s="258"/>
      <c r="S48" s="258"/>
      <c r="T48" s="258"/>
      <c r="U48" s="258"/>
      <c r="V48" s="258"/>
    </row>
    <row r="49" spans="1:22">
      <c r="A49" s="130"/>
      <c r="B49" s="256">
        <v>3.3535810000000001</v>
      </c>
      <c r="C49" s="257" t="s">
        <v>34</v>
      </c>
      <c r="D49" s="130" t="s">
        <v>57</v>
      </c>
      <c r="E49" s="130"/>
      <c r="F49" s="130"/>
      <c r="G49" s="130"/>
      <c r="H49" s="130"/>
      <c r="I49" s="130"/>
      <c r="J49" s="130"/>
      <c r="K49" s="130"/>
      <c r="L49" s="130"/>
      <c r="M49" s="130"/>
      <c r="N49" s="130"/>
      <c r="O49" s="130"/>
      <c r="P49" s="130"/>
      <c r="Q49" s="130"/>
      <c r="R49" s="130"/>
      <c r="S49" s="130"/>
      <c r="T49" s="130"/>
      <c r="U49" s="130"/>
      <c r="V49" s="130"/>
    </row>
    <row r="50" spans="1:22">
      <c r="A50" s="130"/>
      <c r="B50" s="256">
        <v>0.59335515000000005</v>
      </c>
      <c r="C50" s="257" t="s">
        <v>34</v>
      </c>
      <c r="D50" s="130" t="s">
        <v>58</v>
      </c>
      <c r="E50" s="130"/>
      <c r="F50" s="130"/>
      <c r="G50" s="130"/>
      <c r="H50" s="130"/>
      <c r="I50" s="130"/>
      <c r="J50" s="130"/>
      <c r="K50" s="130"/>
      <c r="L50" s="130"/>
      <c r="M50" s="130"/>
      <c r="N50" s="130"/>
      <c r="O50" s="130"/>
      <c r="P50" s="130"/>
      <c r="Q50" s="130"/>
      <c r="R50" s="130"/>
      <c r="S50" s="130"/>
      <c r="T50" s="130"/>
      <c r="U50" s="130"/>
      <c r="V50" s="130"/>
    </row>
    <row r="51" spans="1:22" s="7" customFormat="1">
      <c r="A51" s="258"/>
      <c r="B51" s="259">
        <f>SUM(B49:B50)</f>
        <v>3.94693615</v>
      </c>
      <c r="C51" s="260"/>
      <c r="D51" s="261" t="s">
        <v>65</v>
      </c>
      <c r="E51" s="258"/>
      <c r="F51" s="258"/>
      <c r="G51" s="258"/>
      <c r="H51" s="258"/>
      <c r="I51" s="258"/>
      <c r="J51" s="258"/>
      <c r="K51" s="258"/>
      <c r="L51" s="258"/>
      <c r="M51" s="258"/>
      <c r="N51" s="258"/>
      <c r="O51" s="258"/>
      <c r="P51" s="258"/>
      <c r="Q51" s="258"/>
      <c r="R51" s="258"/>
      <c r="S51" s="258"/>
      <c r="T51" s="258"/>
      <c r="U51" s="258"/>
      <c r="V51" s="258"/>
    </row>
    <row r="52" spans="1:22">
      <c r="A52" s="130"/>
      <c r="B52" s="256">
        <v>221.04686000000001</v>
      </c>
      <c r="C52" s="257" t="s">
        <v>34</v>
      </c>
      <c r="D52" s="130" t="s">
        <v>59</v>
      </c>
      <c r="E52" s="130"/>
      <c r="F52" s="130"/>
      <c r="G52" s="130"/>
      <c r="H52" s="130"/>
      <c r="I52" s="130"/>
      <c r="J52" s="130"/>
      <c r="K52" s="130"/>
      <c r="L52" s="130"/>
      <c r="M52" s="130"/>
      <c r="N52" s="130"/>
      <c r="O52" s="130"/>
      <c r="P52" s="130"/>
      <c r="Q52" s="130"/>
      <c r="R52" s="130"/>
      <c r="S52" s="130"/>
      <c r="T52" s="130"/>
      <c r="U52" s="130"/>
      <c r="V52" s="130"/>
    </row>
    <row r="53" spans="1:22">
      <c r="A53" s="130"/>
      <c r="B53" s="256">
        <v>74.818921000000003</v>
      </c>
      <c r="C53" s="257" t="s">
        <v>34</v>
      </c>
      <c r="D53" s="130" t="s">
        <v>60</v>
      </c>
      <c r="E53" s="130"/>
      <c r="F53" s="130"/>
      <c r="G53" s="130"/>
      <c r="H53" s="130"/>
      <c r="I53" s="130"/>
      <c r="J53" s="130"/>
      <c r="K53" s="130"/>
      <c r="L53" s="130"/>
      <c r="M53" s="130"/>
      <c r="N53" s="130"/>
      <c r="O53" s="130"/>
      <c r="P53" s="130"/>
      <c r="Q53" s="130"/>
      <c r="R53" s="130"/>
      <c r="S53" s="130"/>
      <c r="T53" s="130"/>
      <c r="U53" s="130"/>
      <c r="V53" s="130"/>
    </row>
    <row r="54" spans="1:22">
      <c r="A54" s="130"/>
      <c r="B54" s="256">
        <v>117.23</v>
      </c>
      <c r="C54" s="257" t="s">
        <v>34</v>
      </c>
      <c r="D54" s="130" t="s">
        <v>142</v>
      </c>
      <c r="E54" s="130"/>
      <c r="F54" s="130"/>
      <c r="G54" s="130"/>
      <c r="H54" s="130"/>
      <c r="I54" s="130"/>
      <c r="J54" s="130"/>
      <c r="K54" s="130"/>
      <c r="L54" s="130"/>
      <c r="M54" s="130"/>
      <c r="N54" s="130"/>
      <c r="O54" s="130"/>
      <c r="P54" s="130"/>
      <c r="Q54" s="130"/>
      <c r="R54" s="130"/>
      <c r="S54" s="130"/>
      <c r="T54" s="130"/>
      <c r="U54" s="130"/>
      <c r="V54" s="130"/>
    </row>
    <row r="55" spans="1:22">
      <c r="A55" s="130"/>
      <c r="B55" s="256">
        <v>63.76</v>
      </c>
      <c r="C55" s="257" t="s">
        <v>34</v>
      </c>
      <c r="D55" s="130" t="s">
        <v>143</v>
      </c>
      <c r="E55" s="130"/>
      <c r="F55" s="130"/>
      <c r="G55" s="130"/>
      <c r="H55" s="130"/>
      <c r="I55" s="130"/>
      <c r="J55" s="130"/>
      <c r="K55" s="130"/>
      <c r="L55" s="130"/>
      <c r="M55" s="130"/>
      <c r="N55" s="130"/>
      <c r="O55" s="130"/>
      <c r="P55" s="130"/>
      <c r="Q55" s="130"/>
      <c r="R55" s="130"/>
      <c r="S55" s="130"/>
      <c r="T55" s="130"/>
      <c r="U55" s="130"/>
      <c r="V55" s="130"/>
    </row>
    <row r="56" spans="1:22">
      <c r="A56" s="130"/>
      <c r="B56" s="256">
        <v>55.74</v>
      </c>
      <c r="C56" s="257" t="s">
        <v>34</v>
      </c>
      <c r="D56" s="130" t="s">
        <v>138</v>
      </c>
      <c r="E56" s="130"/>
      <c r="F56" s="130"/>
      <c r="G56" s="130"/>
      <c r="H56" s="130"/>
      <c r="I56" s="130"/>
      <c r="J56" s="130"/>
      <c r="K56" s="130"/>
      <c r="L56" s="130"/>
      <c r="M56" s="130"/>
      <c r="N56" s="130"/>
      <c r="O56" s="130"/>
      <c r="P56" s="130"/>
      <c r="Q56" s="130"/>
      <c r="R56" s="130"/>
      <c r="S56" s="130"/>
      <c r="T56" s="130"/>
      <c r="U56" s="130"/>
      <c r="V56" s="130"/>
    </row>
    <row r="57" spans="1:22" s="7" customFormat="1">
      <c r="A57" s="258"/>
      <c r="B57" s="259">
        <f>AVERAGE(B52:B56)</f>
        <v>106.5191562</v>
      </c>
      <c r="C57" s="260"/>
      <c r="D57" s="261" t="s">
        <v>66</v>
      </c>
      <c r="E57" s="258"/>
      <c r="F57" s="258"/>
      <c r="G57" s="258"/>
      <c r="H57" s="258"/>
      <c r="I57" s="258"/>
      <c r="J57" s="258"/>
      <c r="K57" s="258"/>
      <c r="L57" s="258"/>
      <c r="M57" s="258"/>
      <c r="N57" s="258"/>
      <c r="O57" s="258"/>
      <c r="P57" s="258"/>
      <c r="Q57" s="258"/>
      <c r="R57" s="258"/>
      <c r="S57" s="258"/>
      <c r="T57" s="258"/>
      <c r="U57" s="258"/>
      <c r="V57" s="258"/>
    </row>
    <row r="58" spans="1:22">
      <c r="A58" s="130"/>
      <c r="B58" s="256">
        <v>3.0561493</v>
      </c>
      <c r="C58" s="257" t="s">
        <v>34</v>
      </c>
      <c r="D58" s="130" t="s">
        <v>61</v>
      </c>
      <c r="E58" s="130"/>
      <c r="F58" s="130"/>
      <c r="G58" s="130"/>
      <c r="H58" s="130"/>
      <c r="I58" s="130"/>
      <c r="J58" s="130"/>
      <c r="K58" s="130"/>
      <c r="L58" s="130"/>
      <c r="M58" s="130"/>
      <c r="N58" s="130"/>
      <c r="O58" s="130"/>
      <c r="P58" s="130"/>
      <c r="Q58" s="130"/>
      <c r="R58" s="130"/>
      <c r="S58" s="130"/>
      <c r="T58" s="130"/>
      <c r="U58" s="130"/>
      <c r="V58" s="130"/>
    </row>
    <row r="59" spans="1:22">
      <c r="A59" s="130"/>
      <c r="B59" s="256">
        <v>2.6509149000000001</v>
      </c>
      <c r="C59" s="257" t="s">
        <v>34</v>
      </c>
      <c r="D59" s="130" t="s">
        <v>62</v>
      </c>
      <c r="E59" s="130"/>
      <c r="F59" s="130"/>
      <c r="G59" s="130"/>
      <c r="H59" s="130"/>
      <c r="I59" s="130"/>
      <c r="J59" s="130"/>
      <c r="K59" s="130"/>
      <c r="L59" s="130"/>
      <c r="M59" s="130"/>
      <c r="N59" s="130"/>
      <c r="O59" s="130"/>
      <c r="P59" s="130"/>
      <c r="Q59" s="130"/>
      <c r="R59" s="130"/>
      <c r="S59" s="130"/>
      <c r="T59" s="130"/>
      <c r="U59" s="130"/>
      <c r="V59" s="130"/>
    </row>
    <row r="60" spans="1:22">
      <c r="A60" s="130"/>
      <c r="B60" s="256">
        <v>0.61</v>
      </c>
      <c r="C60" s="257" t="s">
        <v>144</v>
      </c>
      <c r="D60" s="130" t="s">
        <v>146</v>
      </c>
      <c r="E60" s="130"/>
      <c r="F60" s="130"/>
      <c r="G60" s="130"/>
      <c r="H60" s="130"/>
      <c r="I60" s="130"/>
      <c r="J60" s="130"/>
      <c r="K60" s="130"/>
      <c r="L60" s="130"/>
      <c r="M60" s="130"/>
      <c r="N60" s="130"/>
      <c r="O60" s="130"/>
      <c r="P60" s="130"/>
      <c r="Q60" s="130"/>
      <c r="R60" s="130"/>
      <c r="S60" s="130"/>
      <c r="T60" s="130"/>
      <c r="U60" s="130"/>
      <c r="V60" s="130"/>
    </row>
    <row r="61" spans="1:22">
      <c r="A61" s="130"/>
      <c r="B61" s="256">
        <v>1.04</v>
      </c>
      <c r="C61" s="257" t="s">
        <v>34</v>
      </c>
      <c r="D61" s="130" t="s">
        <v>145</v>
      </c>
      <c r="E61" s="130"/>
      <c r="F61" s="130"/>
      <c r="G61" s="130"/>
      <c r="H61" s="130"/>
      <c r="I61" s="130"/>
      <c r="J61" s="130"/>
      <c r="K61" s="130"/>
      <c r="L61" s="130"/>
      <c r="M61" s="130"/>
      <c r="N61" s="130"/>
      <c r="O61" s="130"/>
      <c r="P61" s="130"/>
      <c r="Q61" s="130"/>
      <c r="R61" s="130"/>
      <c r="S61" s="130"/>
      <c r="T61" s="130"/>
      <c r="U61" s="130"/>
      <c r="V61" s="130"/>
    </row>
    <row r="62" spans="1:22" s="7" customFormat="1">
      <c r="A62" s="258"/>
      <c r="B62" s="259">
        <f>AVERAGE(B58:B61)</f>
        <v>1.83926605</v>
      </c>
      <c r="C62" s="260"/>
      <c r="D62" s="261" t="s">
        <v>147</v>
      </c>
      <c r="E62" s="258"/>
      <c r="F62" s="258"/>
      <c r="G62" s="258"/>
      <c r="H62" s="258"/>
      <c r="I62" s="258"/>
      <c r="J62" s="258"/>
      <c r="K62" s="258"/>
      <c r="L62" s="258"/>
      <c r="M62" s="258"/>
      <c r="N62" s="258"/>
      <c r="O62" s="258"/>
      <c r="P62" s="258"/>
      <c r="Q62" s="258"/>
      <c r="R62" s="258"/>
      <c r="S62" s="258"/>
      <c r="T62" s="258"/>
      <c r="U62" s="258"/>
      <c r="V62" s="258"/>
    </row>
    <row r="63" spans="1:22">
      <c r="A63" s="130"/>
      <c r="B63" s="256">
        <f>352.68/(364+132+1050+855+4.63)</f>
        <v>0.14660608655528903</v>
      </c>
      <c r="C63" s="130" t="s">
        <v>182</v>
      </c>
      <c r="D63" s="130" t="s">
        <v>178</v>
      </c>
      <c r="E63" s="130"/>
      <c r="F63" s="130"/>
      <c r="G63" s="130"/>
      <c r="H63" s="130"/>
      <c r="I63" s="130"/>
      <c r="J63" s="130"/>
      <c r="K63" s="130"/>
      <c r="L63" s="130"/>
      <c r="M63" s="130"/>
      <c r="N63" s="130"/>
      <c r="O63" s="130"/>
      <c r="P63" s="130"/>
      <c r="Q63" s="130"/>
      <c r="R63" s="130"/>
      <c r="S63" s="130"/>
      <c r="T63" s="130"/>
      <c r="U63" s="130"/>
      <c r="V63" s="130"/>
    </row>
    <row r="64" spans="1:22">
      <c r="A64" s="130"/>
      <c r="B64" s="256">
        <f>1013.6/(364+132+1050+855+4.63)</f>
        <v>0.42134492835556592</v>
      </c>
      <c r="C64" s="130" t="s">
        <v>183</v>
      </c>
      <c r="D64" s="130" t="s">
        <v>179</v>
      </c>
      <c r="E64" s="130"/>
      <c r="F64" s="130"/>
      <c r="G64" s="130"/>
      <c r="H64" s="130"/>
      <c r="I64" s="130"/>
      <c r="J64" s="130"/>
      <c r="K64" s="130"/>
      <c r="L64" s="130"/>
      <c r="M64" s="130"/>
      <c r="N64" s="130"/>
      <c r="O64" s="130"/>
      <c r="P64" s="130"/>
      <c r="Q64" s="130"/>
      <c r="R64" s="130"/>
      <c r="S64" s="130"/>
      <c r="T64" s="130"/>
      <c r="U64" s="130"/>
      <c r="V64" s="130"/>
    </row>
    <row r="65" spans="1:22">
      <c r="A65" s="130"/>
      <c r="B65" s="256">
        <f>371.3/(364+132+1050+855+4.63)</f>
        <v>0.15434626272535676</v>
      </c>
      <c r="C65" s="130" t="s">
        <v>182</v>
      </c>
      <c r="D65" s="130" t="s">
        <v>180</v>
      </c>
      <c r="E65" s="130"/>
      <c r="F65" s="130"/>
      <c r="G65" s="130"/>
      <c r="H65" s="130"/>
      <c r="I65" s="130"/>
      <c r="J65" s="130"/>
      <c r="K65" s="130"/>
      <c r="L65" s="130"/>
      <c r="M65" s="130"/>
      <c r="N65" s="130"/>
      <c r="O65" s="130"/>
      <c r="P65" s="130"/>
      <c r="Q65" s="130"/>
      <c r="R65" s="130"/>
      <c r="S65" s="130"/>
      <c r="T65" s="130"/>
      <c r="U65" s="130"/>
      <c r="V65" s="130"/>
    </row>
    <row r="66" spans="1:22">
      <c r="A66" s="130"/>
      <c r="B66" s="256">
        <v>0.28000000000000003</v>
      </c>
      <c r="C66" s="130" t="s">
        <v>15</v>
      </c>
      <c r="D66" s="130" t="s">
        <v>181</v>
      </c>
      <c r="E66" s="130"/>
      <c r="F66" s="130"/>
      <c r="G66" s="130"/>
      <c r="H66" s="130"/>
      <c r="I66" s="130"/>
      <c r="J66" s="130"/>
      <c r="K66" s="130"/>
      <c r="L66" s="130"/>
      <c r="M66" s="130"/>
      <c r="N66" s="130"/>
      <c r="O66" s="130"/>
      <c r="P66" s="130"/>
      <c r="Q66" s="130"/>
      <c r="R66" s="130"/>
      <c r="S66" s="130"/>
      <c r="T66" s="130"/>
      <c r="U66" s="130"/>
      <c r="V66" s="130"/>
    </row>
    <row r="67" spans="1:22" s="6" customFormat="1">
      <c r="A67" s="261"/>
      <c r="B67" s="259">
        <f>AVERAGE(B63:B65)</f>
        <v>0.24076575921207058</v>
      </c>
      <c r="C67" s="262"/>
      <c r="D67" s="261" t="s">
        <v>134</v>
      </c>
      <c r="E67" s="261"/>
      <c r="F67" s="261"/>
      <c r="G67" s="261"/>
      <c r="H67" s="261"/>
      <c r="I67" s="261"/>
      <c r="J67" s="261"/>
      <c r="K67" s="261"/>
      <c r="L67" s="261"/>
      <c r="M67" s="261"/>
      <c r="N67" s="261"/>
      <c r="O67" s="261"/>
      <c r="P67" s="261"/>
      <c r="Q67" s="261"/>
      <c r="R67" s="261"/>
      <c r="S67" s="261"/>
      <c r="T67" s="261"/>
      <c r="U67" s="261"/>
      <c r="V67" s="261"/>
    </row>
    <row r="68" spans="1:22">
      <c r="A68" s="130"/>
      <c r="B68" s="256">
        <v>10.4</v>
      </c>
      <c r="C68" s="257" t="s">
        <v>34</v>
      </c>
      <c r="D68" s="130" t="s">
        <v>266</v>
      </c>
      <c r="E68" s="130" t="s">
        <v>265</v>
      </c>
      <c r="F68" s="130"/>
      <c r="G68" s="130"/>
      <c r="H68" s="130"/>
      <c r="I68" s="130"/>
      <c r="J68" s="130"/>
      <c r="K68" s="130"/>
      <c r="L68" s="130"/>
      <c r="M68" s="130"/>
      <c r="N68" s="130"/>
      <c r="O68" s="130"/>
      <c r="P68" s="130"/>
      <c r="Q68" s="130"/>
      <c r="R68" s="126" t="s">
        <v>270</v>
      </c>
      <c r="S68" s="130"/>
      <c r="T68" s="130"/>
      <c r="U68" s="130"/>
      <c r="V68" s="130"/>
    </row>
    <row r="69" spans="1:22" s="6" customFormat="1">
      <c r="A69" s="261"/>
      <c r="B69" s="259">
        <f>B68</f>
        <v>10.4</v>
      </c>
      <c r="C69" s="262"/>
      <c r="D69" s="261" t="s">
        <v>29</v>
      </c>
      <c r="E69" s="261"/>
      <c r="F69" s="261"/>
      <c r="G69" s="261"/>
      <c r="H69" s="261"/>
      <c r="I69" s="261"/>
      <c r="J69" s="261"/>
      <c r="K69" s="261"/>
      <c r="L69" s="261"/>
      <c r="M69" s="261"/>
      <c r="N69" s="261"/>
      <c r="O69" s="261"/>
      <c r="P69" s="261"/>
      <c r="Q69" s="261"/>
      <c r="R69" s="261"/>
      <c r="S69" s="261"/>
      <c r="T69" s="261"/>
      <c r="U69" s="261"/>
      <c r="V69" s="261"/>
    </row>
    <row r="70" spans="1:22">
      <c r="A70" s="130"/>
      <c r="B70" s="256"/>
      <c r="C70" s="257"/>
      <c r="D70" s="130"/>
      <c r="E70" s="130"/>
      <c r="F70" s="130"/>
      <c r="G70" s="130"/>
      <c r="H70" s="130"/>
      <c r="I70" s="130"/>
      <c r="J70" s="130"/>
      <c r="K70" s="130"/>
      <c r="L70" s="130"/>
      <c r="M70" s="130"/>
      <c r="N70" s="130"/>
      <c r="O70" s="130"/>
      <c r="P70" s="130"/>
      <c r="Q70" s="130"/>
      <c r="R70" s="130"/>
      <c r="S70" s="130"/>
      <c r="T70" s="130"/>
      <c r="U70" s="130"/>
      <c r="V70" s="130"/>
    </row>
    <row r="71" spans="1:22">
      <c r="A71" s="130"/>
      <c r="B71" s="256"/>
      <c r="C71" s="257"/>
      <c r="D71" s="130"/>
      <c r="E71" s="130"/>
      <c r="F71" s="130"/>
      <c r="G71" s="130"/>
      <c r="H71" s="130"/>
      <c r="I71" s="130"/>
      <c r="J71" s="130"/>
      <c r="K71" s="130"/>
      <c r="L71" s="130"/>
      <c r="M71" s="130"/>
      <c r="N71" s="130"/>
      <c r="O71" s="130"/>
      <c r="P71" s="130"/>
      <c r="Q71" s="130"/>
      <c r="R71" s="130"/>
      <c r="S71" s="130"/>
      <c r="T71" s="130"/>
      <c r="U71" s="130"/>
      <c r="V71" s="130"/>
    </row>
    <row r="72" spans="1:22">
      <c r="A72" s="130"/>
      <c r="B72" s="130"/>
      <c r="C72" s="130"/>
      <c r="D72" s="130"/>
      <c r="E72" s="130"/>
      <c r="F72" s="130"/>
      <c r="G72" s="130"/>
      <c r="H72" s="130"/>
      <c r="I72" s="130"/>
      <c r="J72" s="130"/>
      <c r="K72" s="130"/>
      <c r="L72" s="130"/>
      <c r="M72" s="130"/>
      <c r="N72" s="130"/>
      <c r="O72" s="130"/>
      <c r="P72" s="130"/>
      <c r="Q72" s="130"/>
      <c r="R72" s="130"/>
      <c r="S72" s="130"/>
      <c r="T72" s="130"/>
      <c r="U72" s="130"/>
      <c r="V72" s="130"/>
    </row>
    <row r="73" spans="1:22">
      <c r="A73" s="130"/>
      <c r="B73" s="126"/>
      <c r="C73" s="130"/>
      <c r="D73" s="130"/>
      <c r="E73" s="130"/>
      <c r="F73" s="130"/>
      <c r="G73" s="130"/>
      <c r="H73" s="130"/>
      <c r="I73" s="130"/>
      <c r="J73" s="130"/>
      <c r="K73" s="130"/>
      <c r="L73" s="130"/>
      <c r="M73" s="130"/>
      <c r="N73" s="130"/>
      <c r="O73" s="130"/>
      <c r="P73" s="130"/>
      <c r="Q73" s="130"/>
      <c r="R73" s="130"/>
      <c r="S73" s="130"/>
      <c r="T73" s="130"/>
      <c r="U73" s="130"/>
      <c r="V73" s="130"/>
    </row>
    <row r="74" spans="1:22">
      <c r="A74" s="130"/>
      <c r="B74" s="130"/>
      <c r="C74" s="130"/>
      <c r="D74" s="130"/>
      <c r="E74" s="130"/>
      <c r="F74" s="130"/>
      <c r="G74" s="130"/>
      <c r="H74" s="130"/>
      <c r="I74" s="130"/>
      <c r="J74" s="130"/>
      <c r="K74" s="130"/>
      <c r="L74" s="130"/>
      <c r="M74" s="130"/>
      <c r="N74" s="130"/>
      <c r="O74" s="130"/>
      <c r="P74" s="130"/>
      <c r="Q74" s="130"/>
      <c r="R74" s="130"/>
      <c r="S74" s="130"/>
      <c r="T74" s="130"/>
      <c r="U74" s="130"/>
      <c r="V74" s="130"/>
    </row>
    <row r="75" spans="1:22">
      <c r="A75" s="130"/>
      <c r="B75" s="130"/>
      <c r="C75" s="130"/>
      <c r="D75" s="130"/>
      <c r="E75" s="130"/>
      <c r="F75" s="130"/>
      <c r="G75" s="130"/>
      <c r="H75" s="130"/>
      <c r="I75" s="130"/>
      <c r="J75" s="130"/>
      <c r="K75" s="130"/>
      <c r="L75" s="130"/>
      <c r="M75" s="130"/>
      <c r="N75" s="130"/>
      <c r="O75" s="130"/>
      <c r="P75" s="130"/>
      <c r="Q75" s="130"/>
      <c r="R75" s="130"/>
      <c r="S75" s="130"/>
      <c r="T75" s="130"/>
      <c r="U75" s="130"/>
      <c r="V75" s="130"/>
    </row>
    <row r="76" spans="1:22">
      <c r="A76" s="130"/>
      <c r="B76" s="130"/>
      <c r="C76" s="130"/>
      <c r="D76" s="130"/>
      <c r="E76" s="130"/>
      <c r="F76" s="130"/>
      <c r="G76" s="130"/>
      <c r="H76" s="130"/>
      <c r="I76" s="130"/>
      <c r="J76" s="130"/>
      <c r="K76" s="130"/>
      <c r="L76" s="130"/>
      <c r="M76" s="130"/>
      <c r="N76" s="130"/>
      <c r="O76" s="130"/>
      <c r="P76" s="130"/>
      <c r="Q76" s="130"/>
      <c r="R76" s="130"/>
      <c r="S76" s="130"/>
      <c r="T76" s="130"/>
      <c r="U76" s="130"/>
      <c r="V76" s="130"/>
    </row>
    <row r="77" spans="1:22">
      <c r="A77" s="130"/>
      <c r="B77" s="254" t="s">
        <v>31</v>
      </c>
      <c r="C77" s="254" t="s">
        <v>4</v>
      </c>
      <c r="D77" s="255" t="s">
        <v>32</v>
      </c>
      <c r="E77" s="255"/>
      <c r="F77" s="255"/>
      <c r="G77" s="255"/>
      <c r="H77" s="255"/>
      <c r="I77" s="255"/>
      <c r="J77" s="255"/>
      <c r="K77" s="255" t="s">
        <v>35</v>
      </c>
      <c r="L77" s="130"/>
      <c r="M77" s="130"/>
      <c r="N77" s="130"/>
      <c r="O77" s="130"/>
      <c r="P77" s="130"/>
      <c r="Q77" s="130"/>
      <c r="R77" s="130"/>
      <c r="S77" s="130"/>
      <c r="T77" s="130"/>
      <c r="U77" s="130"/>
      <c r="V77" s="130"/>
    </row>
    <row r="78" spans="1:22">
      <c r="A78" s="130"/>
      <c r="B78" s="256">
        <v>0.36916483</v>
      </c>
      <c r="C78" s="257" t="s">
        <v>37</v>
      </c>
      <c r="D78" s="130" t="s">
        <v>36</v>
      </c>
      <c r="E78" s="130"/>
      <c r="F78" s="130"/>
      <c r="G78" s="130"/>
      <c r="H78" s="130"/>
      <c r="I78" s="130"/>
      <c r="J78" s="130"/>
      <c r="K78" s="130" t="s">
        <v>38</v>
      </c>
      <c r="L78" s="130"/>
      <c r="M78" s="130"/>
      <c r="N78" s="130"/>
      <c r="O78" s="130"/>
      <c r="P78" s="130"/>
      <c r="Q78" s="130"/>
      <c r="R78" s="130"/>
      <c r="S78" s="130"/>
      <c r="T78" s="130"/>
      <c r="U78" s="130"/>
      <c r="V78" s="130"/>
    </row>
    <row r="79" spans="1:22">
      <c r="A79" s="130"/>
      <c r="B79" s="256">
        <v>0.15309713</v>
      </c>
      <c r="C79" s="257" t="s">
        <v>40</v>
      </c>
      <c r="D79" s="130" t="s">
        <v>39</v>
      </c>
      <c r="E79" s="130"/>
      <c r="F79" s="130"/>
      <c r="G79" s="130"/>
      <c r="H79" s="130"/>
      <c r="I79" s="130"/>
      <c r="J79" s="130"/>
      <c r="K79" s="130" t="s">
        <v>41</v>
      </c>
      <c r="L79" s="130"/>
      <c r="M79" s="130"/>
      <c r="N79" s="130"/>
      <c r="O79" s="130"/>
      <c r="P79" s="130"/>
      <c r="Q79" s="130"/>
      <c r="R79" s="130"/>
      <c r="S79" s="130"/>
      <c r="T79" s="130"/>
      <c r="U79" s="130"/>
      <c r="V79" s="130"/>
    </row>
    <row r="80" spans="1:22">
      <c r="A80" s="130"/>
      <c r="B80" s="130"/>
      <c r="C80" s="130"/>
      <c r="D80" s="130"/>
      <c r="E80" s="130"/>
      <c r="F80" s="130"/>
      <c r="G80" s="130"/>
      <c r="H80" s="130"/>
      <c r="I80" s="130"/>
      <c r="J80" s="130"/>
      <c r="K80" s="130"/>
      <c r="L80" s="130"/>
      <c r="M80" s="130"/>
      <c r="N80" s="130"/>
      <c r="O80" s="130"/>
      <c r="P80" s="130"/>
      <c r="Q80" s="130"/>
      <c r="R80" s="130"/>
      <c r="S80" s="130"/>
      <c r="T80" s="130"/>
      <c r="U80" s="130"/>
      <c r="V80" s="130"/>
    </row>
    <row r="81" spans="1:22">
      <c r="A81" s="130"/>
      <c r="B81" s="130"/>
      <c r="C81" s="130"/>
      <c r="D81" s="130"/>
      <c r="E81" s="130"/>
      <c r="F81" s="130"/>
      <c r="G81" s="130"/>
      <c r="H81" s="130"/>
      <c r="I81" s="130"/>
      <c r="J81" s="130"/>
      <c r="K81" s="130"/>
      <c r="L81" s="130"/>
      <c r="M81" s="130"/>
      <c r="N81" s="130"/>
      <c r="O81" s="130"/>
      <c r="P81" s="130"/>
      <c r="Q81" s="130"/>
      <c r="R81" s="130"/>
      <c r="S81" s="130"/>
      <c r="T81" s="130"/>
      <c r="U81" s="130"/>
      <c r="V81" s="130"/>
    </row>
    <row r="82" spans="1:22">
      <c r="A82" s="130"/>
      <c r="B82" s="130"/>
      <c r="C82" s="130"/>
      <c r="D82" s="130"/>
      <c r="E82" s="130"/>
      <c r="F82" s="130"/>
      <c r="G82" s="130"/>
      <c r="H82" s="130"/>
      <c r="I82" s="130"/>
      <c r="J82" s="130"/>
      <c r="K82" s="130"/>
      <c r="L82" s="130"/>
      <c r="M82" s="130"/>
      <c r="N82" s="130"/>
      <c r="O82" s="130"/>
      <c r="P82" s="130"/>
      <c r="Q82" s="130"/>
      <c r="R82" s="130"/>
      <c r="S82" s="130"/>
      <c r="T82" s="130"/>
      <c r="U82" s="130"/>
      <c r="V82" s="130"/>
    </row>
    <row r="83" spans="1:22">
      <c r="A83" s="130"/>
      <c r="B83" s="130"/>
      <c r="C83" s="130"/>
      <c r="D83" s="130"/>
      <c r="E83" s="130"/>
      <c r="F83" s="130"/>
      <c r="G83" s="130"/>
      <c r="H83" s="130"/>
      <c r="I83" s="130"/>
      <c r="J83" s="130"/>
      <c r="K83" s="130"/>
      <c r="L83" s="130"/>
      <c r="M83" s="130"/>
      <c r="N83" s="130"/>
      <c r="O83" s="130"/>
      <c r="P83" s="130"/>
      <c r="Q83" s="130"/>
      <c r="R83" s="130"/>
      <c r="S83" s="130"/>
      <c r="T83" s="130"/>
      <c r="U83" s="130"/>
      <c r="V83" s="130"/>
    </row>
    <row r="84" spans="1:22" ht="14.25">
      <c r="A84" s="130"/>
      <c r="B84" s="130"/>
      <c r="C84" s="130"/>
      <c r="D84" s="251"/>
      <c r="E84" s="263"/>
      <c r="F84" s="263"/>
      <c r="G84" s="263"/>
      <c r="H84" s="263"/>
      <c r="I84" s="130"/>
      <c r="J84" s="130"/>
      <c r="K84" s="130"/>
      <c r="L84" s="130"/>
      <c r="M84" s="130"/>
      <c r="N84" s="130"/>
      <c r="O84" s="130"/>
      <c r="P84" s="130"/>
      <c r="Q84" s="130"/>
      <c r="R84" s="130"/>
      <c r="S84" s="130"/>
      <c r="T84" s="130"/>
      <c r="U84" s="130"/>
      <c r="V84" s="130"/>
    </row>
    <row r="85" spans="1:22">
      <c r="A85" s="130"/>
      <c r="B85" s="254" t="s">
        <v>31</v>
      </c>
      <c r="C85" s="254" t="s">
        <v>4</v>
      </c>
      <c r="D85" s="255" t="s">
        <v>32</v>
      </c>
      <c r="E85" s="130"/>
      <c r="F85" s="130"/>
      <c r="G85" s="130"/>
      <c r="H85" s="130"/>
      <c r="I85" s="130"/>
      <c r="J85" s="130"/>
      <c r="K85" s="130"/>
      <c r="L85" s="130"/>
      <c r="M85" s="130"/>
      <c r="N85" s="130"/>
      <c r="O85" s="130"/>
      <c r="P85" s="130"/>
      <c r="Q85" s="130"/>
      <c r="R85" s="130"/>
      <c r="S85" s="130"/>
      <c r="T85" s="130"/>
      <c r="U85" s="130"/>
      <c r="V85" s="130"/>
    </row>
    <row r="86" spans="1:22">
      <c r="A86" s="130"/>
      <c r="B86" s="256">
        <v>1.8184388999999999E-2</v>
      </c>
      <c r="C86" s="257" t="s">
        <v>34</v>
      </c>
      <c r="D86" s="130" t="s">
        <v>276</v>
      </c>
      <c r="E86" s="130"/>
      <c r="F86" s="130"/>
      <c r="G86" s="130"/>
      <c r="H86" s="130"/>
      <c r="I86" s="130"/>
      <c r="J86" s="130"/>
      <c r="K86" s="130"/>
      <c r="L86" s="130"/>
      <c r="M86" s="130"/>
      <c r="N86" s="130"/>
      <c r="O86" s="130"/>
      <c r="P86" s="130"/>
      <c r="Q86" s="130"/>
      <c r="R86" s="130"/>
      <c r="S86" s="130"/>
      <c r="T86" s="130"/>
      <c r="U86" s="130"/>
      <c r="V86" s="130"/>
    </row>
    <row r="87" spans="1:22">
      <c r="A87" s="130"/>
      <c r="B87" s="256">
        <v>2.6005573000000001E-2</v>
      </c>
      <c r="C87" s="257" t="s">
        <v>34</v>
      </c>
      <c r="D87" s="130" t="s">
        <v>277</v>
      </c>
      <c r="E87" s="130"/>
      <c r="F87" s="130"/>
      <c r="G87" s="130"/>
      <c r="H87" s="130"/>
      <c r="I87" s="130"/>
      <c r="J87" s="130"/>
      <c r="K87" s="130"/>
      <c r="L87" s="130"/>
      <c r="M87" s="130"/>
      <c r="N87" s="130"/>
      <c r="O87" s="130"/>
      <c r="P87" s="130"/>
      <c r="Q87" s="130"/>
      <c r="R87" s="130"/>
      <c r="S87" s="130"/>
      <c r="T87" s="130"/>
      <c r="U87" s="130"/>
      <c r="V87" s="130"/>
    </row>
    <row r="88" spans="1:22">
      <c r="A88" s="130"/>
      <c r="B88" s="256">
        <v>2.3694701</v>
      </c>
      <c r="C88" s="257" t="s">
        <v>34</v>
      </c>
      <c r="D88" s="130" t="s">
        <v>278</v>
      </c>
      <c r="E88" s="130"/>
      <c r="F88" s="130"/>
      <c r="G88" s="130"/>
      <c r="H88" s="130"/>
      <c r="I88" s="130"/>
      <c r="J88" s="130"/>
      <c r="K88" s="130"/>
      <c r="L88" s="130"/>
      <c r="M88" s="130"/>
      <c r="N88" s="130"/>
      <c r="O88" s="130"/>
      <c r="P88" s="130"/>
      <c r="Q88" s="130"/>
      <c r="R88" s="130"/>
      <c r="S88" s="130"/>
      <c r="T88" s="130"/>
      <c r="U88" s="130"/>
      <c r="V88" s="130"/>
    </row>
    <row r="89" spans="1:22">
      <c r="A89" s="130"/>
      <c r="B89" s="256">
        <v>3.1564101</v>
      </c>
      <c r="C89" s="257" t="s">
        <v>34</v>
      </c>
      <c r="D89" s="130" t="s">
        <v>279</v>
      </c>
      <c r="E89" s="130"/>
      <c r="F89" s="130"/>
      <c r="G89" s="130"/>
      <c r="H89" s="130"/>
      <c r="I89" s="130"/>
      <c r="J89" s="130"/>
      <c r="K89" s="130"/>
      <c r="L89" s="130"/>
      <c r="M89" s="130"/>
      <c r="N89" s="130"/>
      <c r="O89" s="130"/>
      <c r="P89" s="130"/>
      <c r="Q89" s="130"/>
      <c r="R89" s="130"/>
      <c r="S89" s="130"/>
      <c r="T89" s="130"/>
      <c r="U89" s="130"/>
      <c r="V89" s="130"/>
    </row>
    <row r="90" spans="1:22">
      <c r="A90" s="130"/>
      <c r="B90" s="256">
        <v>1.3203875E-2</v>
      </c>
      <c r="C90" s="257" t="s">
        <v>34</v>
      </c>
      <c r="D90" s="130" t="s">
        <v>280</v>
      </c>
      <c r="E90" s="130"/>
      <c r="F90" s="130"/>
      <c r="G90" s="130"/>
      <c r="H90" s="130"/>
      <c r="I90" s="130"/>
      <c r="J90" s="130"/>
      <c r="K90" s="130"/>
      <c r="L90" s="130"/>
      <c r="M90" s="130"/>
      <c r="N90" s="130"/>
      <c r="O90" s="130"/>
      <c r="P90" s="130"/>
      <c r="Q90" s="130"/>
      <c r="R90" s="130"/>
      <c r="S90" s="130"/>
      <c r="T90" s="130"/>
      <c r="U90" s="130"/>
      <c r="V90" s="130"/>
    </row>
    <row r="91" spans="1:22">
      <c r="A91" s="130"/>
      <c r="B91" s="256">
        <v>1.7312075E-2</v>
      </c>
      <c r="C91" s="257" t="s">
        <v>34</v>
      </c>
      <c r="D91" s="130" t="s">
        <v>281</v>
      </c>
      <c r="E91" s="130"/>
      <c r="F91" s="130"/>
      <c r="G91" s="130"/>
      <c r="H91" s="130"/>
      <c r="I91" s="130"/>
      <c r="J91" s="130"/>
      <c r="K91" s="130"/>
      <c r="L91" s="130"/>
      <c r="M91" s="130"/>
      <c r="N91" s="130"/>
      <c r="O91" s="130"/>
      <c r="P91" s="130"/>
      <c r="Q91" s="130"/>
      <c r="R91" s="130"/>
      <c r="S91" s="130"/>
      <c r="T91" s="130"/>
      <c r="U91" s="130"/>
      <c r="V91" s="130"/>
    </row>
    <row r="92" spans="1:22">
      <c r="A92" s="130"/>
      <c r="B92" s="256">
        <v>0.72713565999999996</v>
      </c>
      <c r="C92" s="257" t="s">
        <v>34</v>
      </c>
      <c r="D92" s="130" t="s">
        <v>282</v>
      </c>
      <c r="E92" s="130"/>
      <c r="F92" s="130"/>
      <c r="G92" s="130"/>
      <c r="H92" s="130"/>
      <c r="I92" s="130"/>
      <c r="J92" s="130"/>
      <c r="K92" s="130"/>
      <c r="L92" s="130"/>
      <c r="M92" s="130"/>
      <c r="N92" s="130"/>
      <c r="O92" s="130"/>
      <c r="P92" s="130"/>
      <c r="Q92" s="130"/>
      <c r="R92" s="130"/>
      <c r="S92" s="130"/>
      <c r="T92" s="130"/>
      <c r="U92" s="130"/>
      <c r="V92" s="130"/>
    </row>
    <row r="93" spans="1:22">
      <c r="A93" s="130"/>
      <c r="B93" s="256">
        <v>3.082532</v>
      </c>
      <c r="C93" s="257" t="s">
        <v>34</v>
      </c>
      <c r="D93" s="130" t="s">
        <v>283</v>
      </c>
      <c r="E93" s="130"/>
      <c r="F93" s="130"/>
      <c r="G93" s="130"/>
      <c r="H93" s="130"/>
      <c r="I93" s="130"/>
      <c r="J93" s="130"/>
      <c r="K93" s="130"/>
      <c r="L93" s="130"/>
      <c r="M93" s="130"/>
      <c r="N93" s="130"/>
      <c r="O93" s="130"/>
      <c r="P93" s="130"/>
      <c r="Q93" s="130"/>
      <c r="R93" s="130"/>
      <c r="S93" s="130"/>
      <c r="T93" s="130"/>
      <c r="U93" s="130"/>
      <c r="V93" s="130"/>
    </row>
    <row r="94" spans="1:22">
      <c r="A94" s="130"/>
      <c r="B94" s="256">
        <v>2.8448105000000001E-2</v>
      </c>
      <c r="C94" s="257" t="s">
        <v>34</v>
      </c>
      <c r="D94" s="130" t="s">
        <v>284</v>
      </c>
      <c r="E94" s="130"/>
      <c r="F94" s="130"/>
      <c r="G94" s="130"/>
      <c r="H94" s="130"/>
      <c r="I94" s="130"/>
      <c r="J94" s="130"/>
      <c r="K94" s="130"/>
      <c r="L94" s="130"/>
      <c r="M94" s="130"/>
      <c r="N94" s="130"/>
      <c r="O94" s="130"/>
      <c r="P94" s="130"/>
      <c r="Q94" s="130"/>
      <c r="R94" s="130"/>
      <c r="S94" s="130"/>
      <c r="T94" s="130"/>
      <c r="U94" s="130"/>
      <c r="V94" s="130"/>
    </row>
    <row r="95" spans="1:22">
      <c r="A95" s="130"/>
      <c r="B95" s="256">
        <v>2.3134380999999999E-2</v>
      </c>
      <c r="C95" s="257" t="s">
        <v>34</v>
      </c>
      <c r="D95" s="130" t="s">
        <v>285</v>
      </c>
      <c r="E95" s="130"/>
      <c r="F95" s="130"/>
      <c r="G95" s="130"/>
      <c r="H95" s="130"/>
      <c r="I95" s="130"/>
      <c r="J95" s="130"/>
      <c r="K95" s="130"/>
      <c r="L95" s="130"/>
      <c r="M95" s="130"/>
      <c r="N95" s="130"/>
      <c r="O95" s="130"/>
      <c r="P95" s="130"/>
      <c r="Q95" s="130"/>
      <c r="R95" s="130"/>
      <c r="S95" s="130"/>
      <c r="T95" s="130"/>
      <c r="U95" s="130"/>
      <c r="V95" s="130"/>
    </row>
    <row r="96" spans="1:22">
      <c r="A96" s="130"/>
      <c r="B96" s="130"/>
      <c r="C96" s="130"/>
      <c r="D96" s="251"/>
      <c r="E96" s="130"/>
      <c r="F96" s="130"/>
      <c r="G96" s="130"/>
      <c r="H96" s="130"/>
      <c r="I96" s="130"/>
      <c r="J96" s="130"/>
      <c r="K96" s="130"/>
      <c r="L96" s="130"/>
      <c r="M96" s="130"/>
      <c r="N96" s="130"/>
      <c r="O96" s="130"/>
      <c r="P96" s="130"/>
      <c r="Q96" s="130"/>
      <c r="R96" s="130"/>
      <c r="S96" s="130"/>
      <c r="T96" s="130"/>
      <c r="U96" s="130"/>
      <c r="V96" s="130"/>
    </row>
    <row r="100" spans="1:16">
      <c r="E100" s="3"/>
    </row>
    <row r="102" spans="1:16">
      <c r="A102" s="130"/>
      <c r="B102" s="130"/>
      <c r="C102" s="130"/>
      <c r="D102" s="130"/>
      <c r="E102" s="130"/>
      <c r="F102" s="130"/>
      <c r="G102" s="130"/>
      <c r="H102" s="130"/>
      <c r="I102" s="130"/>
      <c r="J102" s="130"/>
      <c r="K102" s="130"/>
      <c r="L102" s="130"/>
      <c r="M102" s="130"/>
      <c r="N102" s="130"/>
      <c r="O102" s="130"/>
      <c r="P102" s="130"/>
    </row>
    <row r="103" spans="1:16">
      <c r="A103" s="130"/>
      <c r="B103" s="130"/>
      <c r="C103" s="130"/>
      <c r="D103" s="130"/>
      <c r="E103" s="130"/>
      <c r="F103" s="130"/>
      <c r="G103" s="130"/>
      <c r="H103" s="130"/>
      <c r="I103" s="130"/>
      <c r="J103" s="130"/>
      <c r="K103" s="130"/>
      <c r="L103" s="130"/>
      <c r="M103" s="130"/>
      <c r="N103" s="130"/>
      <c r="O103" s="130"/>
      <c r="P103" s="130"/>
    </row>
    <row r="104" spans="1:16" ht="89.25">
      <c r="A104" s="130"/>
      <c r="B104" s="130"/>
      <c r="C104" s="410" t="s">
        <v>157</v>
      </c>
      <c r="D104" s="410" t="s">
        <v>158</v>
      </c>
      <c r="E104" s="410" t="s">
        <v>159</v>
      </c>
      <c r="F104" s="410" t="s">
        <v>161</v>
      </c>
      <c r="G104" s="130"/>
      <c r="H104" s="130"/>
      <c r="I104" s="130"/>
      <c r="J104" s="130"/>
      <c r="K104" s="130"/>
      <c r="L104" s="130"/>
      <c r="M104" s="130"/>
      <c r="N104" s="130"/>
      <c r="O104" s="130"/>
      <c r="P104" s="130"/>
    </row>
    <row r="105" spans="1:16">
      <c r="A105" s="130"/>
      <c r="B105" s="130" t="s">
        <v>19</v>
      </c>
      <c r="C105" s="411">
        <v>0.41</v>
      </c>
      <c r="D105" s="256">
        <f>B44*C105</f>
        <v>0.44760786499999999</v>
      </c>
      <c r="E105" s="412">
        <f>D105*-1</f>
        <v>-0.44760786499999999</v>
      </c>
      <c r="F105" s="130" t="s">
        <v>160</v>
      </c>
      <c r="G105" s="130"/>
      <c r="H105" s="130"/>
      <c r="I105" s="130"/>
      <c r="J105" s="130"/>
      <c r="K105" s="130"/>
      <c r="L105" s="130"/>
      <c r="M105" s="130"/>
      <c r="N105" s="130"/>
      <c r="O105" s="130"/>
      <c r="P105" s="130"/>
    </row>
    <row r="106" spans="1:16">
      <c r="A106" s="130"/>
      <c r="B106" s="130" t="s">
        <v>17</v>
      </c>
      <c r="C106" s="411">
        <v>0.96</v>
      </c>
      <c r="D106" s="256">
        <f>B25*C106</f>
        <v>11.195185823999999</v>
      </c>
      <c r="E106" s="412">
        <f>D106*-1</f>
        <v>-11.195185823999999</v>
      </c>
      <c r="F106" s="130" t="s">
        <v>160</v>
      </c>
      <c r="G106" s="130"/>
      <c r="H106" s="130"/>
      <c r="I106" s="130"/>
      <c r="J106" s="130"/>
      <c r="K106" s="130"/>
      <c r="L106" s="130"/>
      <c r="M106" s="130"/>
      <c r="N106" s="130"/>
      <c r="O106" s="130"/>
      <c r="P106" s="130"/>
    </row>
    <row r="107" spans="1:16">
      <c r="A107" s="130"/>
      <c r="B107" s="130" t="s">
        <v>154</v>
      </c>
      <c r="C107" s="411">
        <v>0.87</v>
      </c>
      <c r="D107" s="256">
        <f>B21*C107</f>
        <v>3.3477729630000002</v>
      </c>
      <c r="E107" s="412">
        <f>D107*-1</f>
        <v>-3.3477729630000002</v>
      </c>
      <c r="F107" s="130" t="s">
        <v>160</v>
      </c>
      <c r="G107" s="130"/>
      <c r="H107" s="130"/>
      <c r="I107" s="130"/>
      <c r="J107" s="130"/>
      <c r="K107" s="130"/>
      <c r="L107" s="130"/>
      <c r="M107" s="130"/>
      <c r="N107" s="130"/>
      <c r="O107" s="130"/>
      <c r="P107" s="130"/>
    </row>
    <row r="108" spans="1:16">
      <c r="A108" s="130"/>
      <c r="B108" s="130" t="s">
        <v>155</v>
      </c>
      <c r="C108" s="411">
        <v>0.37</v>
      </c>
      <c r="D108" s="256">
        <f>B30*C108</f>
        <v>1.8323138834499997</v>
      </c>
      <c r="E108" s="412">
        <f>D108*-1</f>
        <v>-1.8323138834499997</v>
      </c>
      <c r="F108" s="130" t="s">
        <v>160</v>
      </c>
      <c r="G108" s="130"/>
      <c r="H108" s="130"/>
      <c r="I108" s="130"/>
      <c r="J108" s="130"/>
      <c r="K108" s="130"/>
      <c r="L108" s="130"/>
      <c r="M108" s="130"/>
      <c r="N108" s="130"/>
      <c r="O108" s="130"/>
      <c r="P108" s="130"/>
    </row>
    <row r="109" spans="1:16">
      <c r="A109" s="130"/>
      <c r="B109" s="130" t="s">
        <v>156</v>
      </c>
      <c r="C109" s="411">
        <v>0.37</v>
      </c>
      <c r="D109" s="256">
        <f>B62*C109</f>
        <v>0.6805284385</v>
      </c>
      <c r="E109" s="412">
        <f>D109*-1</f>
        <v>-0.6805284385</v>
      </c>
      <c r="F109" s="130" t="s">
        <v>160</v>
      </c>
      <c r="G109" s="130"/>
      <c r="H109" s="130"/>
      <c r="I109" s="130"/>
      <c r="J109" s="130"/>
      <c r="K109" s="130"/>
      <c r="L109" s="130"/>
      <c r="M109" s="130"/>
      <c r="N109" s="130"/>
      <c r="O109" s="130"/>
      <c r="P109" s="130"/>
    </row>
    <row r="110" spans="1:16">
      <c r="A110" s="130"/>
      <c r="B110" s="130" t="s">
        <v>163</v>
      </c>
      <c r="C110" s="130"/>
      <c r="D110" s="130"/>
      <c r="E110" s="413">
        <v>-1.18</v>
      </c>
      <c r="F110" s="130" t="s">
        <v>162</v>
      </c>
      <c r="G110" s="130"/>
      <c r="H110" s="130"/>
      <c r="I110" s="130"/>
      <c r="J110" s="130"/>
      <c r="K110" s="130"/>
      <c r="L110" s="130"/>
      <c r="M110" s="130"/>
      <c r="N110" s="130"/>
      <c r="O110" s="130"/>
      <c r="P110" s="130"/>
    </row>
    <row r="111" spans="1:16">
      <c r="A111" s="130"/>
      <c r="B111" s="130" t="s">
        <v>134</v>
      </c>
      <c r="C111" s="130"/>
      <c r="D111" s="130"/>
      <c r="E111" s="413">
        <v>-0.02</v>
      </c>
      <c r="F111" s="130" t="s">
        <v>162</v>
      </c>
      <c r="G111" s="130"/>
      <c r="H111" s="130"/>
      <c r="I111" s="130"/>
      <c r="J111" s="130"/>
      <c r="K111" s="130"/>
      <c r="L111" s="130"/>
      <c r="M111" s="130"/>
      <c r="N111" s="130"/>
      <c r="O111" s="130"/>
      <c r="P111" s="130"/>
    </row>
    <row r="112" spans="1:16">
      <c r="A112" s="130"/>
      <c r="B112" s="130" t="s">
        <v>164</v>
      </c>
      <c r="C112" s="130"/>
      <c r="D112" s="130"/>
      <c r="E112" s="413">
        <v>-0.02</v>
      </c>
      <c r="F112" s="130" t="s">
        <v>162</v>
      </c>
      <c r="G112" s="130"/>
      <c r="H112" s="130"/>
      <c r="I112" s="130"/>
      <c r="J112" s="130"/>
      <c r="K112" s="130"/>
      <c r="L112" s="130"/>
      <c r="M112" s="130"/>
      <c r="N112" s="130"/>
      <c r="O112" s="130"/>
      <c r="P112" s="130"/>
    </row>
    <row r="113" spans="1:16">
      <c r="A113" s="130"/>
      <c r="B113" s="130" t="s">
        <v>18</v>
      </c>
      <c r="C113" s="130"/>
      <c r="D113" s="130"/>
      <c r="E113" s="413">
        <v>-1.35</v>
      </c>
      <c r="F113" s="130" t="s">
        <v>162</v>
      </c>
      <c r="G113" s="130"/>
      <c r="H113" s="130"/>
      <c r="I113" s="130"/>
      <c r="J113" s="130"/>
      <c r="K113" s="130"/>
      <c r="L113" s="130"/>
      <c r="M113" s="130"/>
      <c r="N113" s="130"/>
      <c r="O113" s="130"/>
      <c r="P113" s="130"/>
    </row>
    <row r="114" spans="1:16">
      <c r="A114" s="130"/>
      <c r="B114" s="130" t="s">
        <v>165</v>
      </c>
      <c r="C114" s="130"/>
      <c r="D114" s="130"/>
      <c r="E114" s="413">
        <v>-1.07</v>
      </c>
      <c r="F114" s="130" t="s">
        <v>162</v>
      </c>
      <c r="G114" s="130"/>
      <c r="H114" s="130"/>
      <c r="I114" s="130"/>
      <c r="J114" s="130"/>
      <c r="K114" s="130"/>
      <c r="L114" s="130"/>
      <c r="M114" s="130"/>
      <c r="N114" s="130"/>
      <c r="O114" s="130"/>
      <c r="P114" s="130"/>
    </row>
    <row r="115" spans="1:16">
      <c r="A115" s="130"/>
      <c r="B115" s="130" t="s">
        <v>21</v>
      </c>
      <c r="C115" s="414">
        <v>8.2000000000000003E-2</v>
      </c>
      <c r="D115" s="256">
        <f>B48*C115</f>
        <v>1.4792799999999999</v>
      </c>
      <c r="E115" s="256">
        <f>D115*-1</f>
        <v>-1.4792799999999999</v>
      </c>
      <c r="F115" s="130" t="s">
        <v>267</v>
      </c>
      <c r="G115" s="130"/>
      <c r="H115" s="130"/>
      <c r="I115" s="130"/>
      <c r="J115" s="130"/>
      <c r="K115" s="130"/>
      <c r="L115" s="130"/>
      <c r="M115" s="130"/>
      <c r="N115" s="130"/>
      <c r="O115" s="130"/>
      <c r="P115" s="130"/>
    </row>
    <row r="116" spans="1:16">
      <c r="A116" s="130"/>
      <c r="B116" s="130" t="s">
        <v>29</v>
      </c>
      <c r="C116" s="414">
        <v>0.94</v>
      </c>
      <c r="D116" s="256">
        <f>B68*C116</f>
        <v>9.7759999999999998</v>
      </c>
      <c r="E116" s="256">
        <f>D116*-1</f>
        <v>-9.7759999999999998</v>
      </c>
      <c r="F116" s="130" t="s">
        <v>264</v>
      </c>
      <c r="G116" s="130"/>
      <c r="H116" s="130"/>
      <c r="I116" s="130"/>
      <c r="J116" s="130"/>
      <c r="K116" s="130"/>
      <c r="L116" s="130"/>
      <c r="M116" s="130"/>
      <c r="N116" s="130"/>
      <c r="O116" s="130"/>
      <c r="P116" s="130"/>
    </row>
    <row r="117" spans="1:16">
      <c r="A117" s="130"/>
      <c r="B117" s="130" t="s">
        <v>262</v>
      </c>
      <c r="C117" s="414">
        <v>0.5</v>
      </c>
      <c r="D117" s="256">
        <f>B57*C117</f>
        <v>53.259578099999999</v>
      </c>
      <c r="E117" s="256">
        <f>D117*-1</f>
        <v>-53.259578099999999</v>
      </c>
      <c r="F117" s="130" t="s">
        <v>263</v>
      </c>
      <c r="G117" s="130"/>
      <c r="H117" s="130"/>
      <c r="I117" s="130"/>
      <c r="J117" s="130"/>
      <c r="K117" s="130"/>
      <c r="L117" s="130"/>
      <c r="M117" s="130"/>
      <c r="N117" s="130"/>
      <c r="O117" s="130"/>
      <c r="P117" s="130"/>
    </row>
    <row r="118" spans="1:16">
      <c r="A118" s="130"/>
      <c r="B118" s="130"/>
      <c r="C118" s="130"/>
      <c r="D118" s="130"/>
      <c r="E118" s="130"/>
      <c r="F118" s="130"/>
      <c r="G118" s="130"/>
      <c r="H118" s="130"/>
      <c r="I118" s="130"/>
      <c r="J118" s="130"/>
      <c r="K118" s="130"/>
      <c r="L118" s="130"/>
      <c r="M118" s="130"/>
      <c r="N118" s="130"/>
      <c r="O118" s="130"/>
      <c r="P118" s="130"/>
    </row>
    <row r="122" spans="1:16">
      <c r="B122" s="1"/>
      <c r="C122" s="5"/>
      <c r="G122" s="124"/>
    </row>
    <row r="123" spans="1:16">
      <c r="G123" s="124"/>
    </row>
    <row r="124" spans="1:16">
      <c r="G124" s="124"/>
      <c r="H124" s="124"/>
    </row>
    <row r="125" spans="1:16">
      <c r="G125" s="124"/>
    </row>
    <row r="126" spans="1:16">
      <c r="G126" s="124"/>
    </row>
    <row r="127" spans="1:16">
      <c r="G127" s="124"/>
    </row>
    <row r="146" spans="2:4">
      <c r="B146" s="4" t="s">
        <v>31</v>
      </c>
      <c r="C146" s="4" t="s">
        <v>4</v>
      </c>
      <c r="D146" s="4" t="s">
        <v>32</v>
      </c>
    </row>
    <row r="147" spans="2:4">
      <c r="D147" t="s">
        <v>149</v>
      </c>
    </row>
    <row r="148" spans="2:4">
      <c r="D148" t="s">
        <v>150</v>
      </c>
    </row>
  </sheetData>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CC5EF-CEB4-4710-8C42-C95C8462EE46}">
  <sheetPr>
    <tabColor theme="7"/>
  </sheetPr>
  <dimension ref="A1:DW626"/>
  <sheetViews>
    <sheetView zoomScale="88" zoomScaleNormal="88" workbookViewId="0">
      <selection activeCell="K9" sqref="K9"/>
    </sheetView>
  </sheetViews>
  <sheetFormatPr defaultColWidth="9.140625" defaultRowHeight="11.25"/>
  <cols>
    <col min="1" max="1" width="25.42578125" style="10" customWidth="1"/>
    <col min="2" max="2" width="11.7109375" style="10" customWidth="1"/>
    <col min="3" max="3" width="11.28515625" style="10" customWidth="1"/>
    <col min="4" max="4" width="12.140625" style="10" customWidth="1"/>
    <col min="5" max="5" width="9.28515625" style="10" bestFit="1" customWidth="1"/>
    <col min="6" max="6" width="9.140625" style="10"/>
    <col min="7" max="7" width="9.28515625" style="10" bestFit="1" customWidth="1"/>
    <col min="8" max="8" width="9.140625" style="10"/>
    <col min="9" max="9" width="14.28515625" style="10" bestFit="1" customWidth="1"/>
    <col min="10" max="10" width="9.28515625" style="10" bestFit="1" customWidth="1"/>
    <col min="11" max="11" width="9.140625" style="10"/>
    <col min="12" max="12" width="3.28515625" style="11" customWidth="1"/>
    <col min="13" max="13" width="16.28515625" style="11" customWidth="1"/>
    <col min="14" max="14" width="10.7109375" style="11" customWidth="1"/>
    <col min="15" max="15" width="9.28515625" style="11" bestFit="1" customWidth="1"/>
    <col min="16" max="16" width="13.28515625" style="11" customWidth="1"/>
    <col min="17" max="20" width="9.28515625" style="11" bestFit="1" customWidth="1"/>
    <col min="21" max="26" width="9.140625" style="11"/>
    <col min="27" max="27" width="8.42578125" style="11" customWidth="1"/>
    <col min="28" max="28" width="3.5703125" style="11" customWidth="1"/>
    <col min="29" max="29" width="3.140625" style="12" customWidth="1"/>
    <col min="30" max="30" width="35.140625" style="12" customWidth="1"/>
    <col min="31" max="31" width="9.85546875" style="12" bestFit="1" customWidth="1"/>
    <col min="32" max="32" width="9.28515625" style="12" bestFit="1" customWidth="1"/>
    <col min="33" max="33" width="14.5703125" style="12" customWidth="1"/>
    <col min="34" max="34" width="13.140625" style="12" customWidth="1"/>
    <col min="35" max="35" width="16" style="12" customWidth="1"/>
    <col min="36" max="36" width="13.140625" style="12" customWidth="1"/>
    <col min="37" max="40" width="9.140625" style="12"/>
    <col min="41" max="41" width="4.28515625" style="12" customWidth="1"/>
    <col min="42" max="42" width="3.7109375" style="13" customWidth="1"/>
    <col min="43" max="43" width="8.85546875" style="13" customWidth="1"/>
    <col min="44" max="44" width="24.140625" style="13" customWidth="1"/>
    <col min="45" max="46" width="9.28515625" style="13" bestFit="1" customWidth="1"/>
    <col min="47" max="52" width="9.140625" style="13"/>
    <col min="53" max="53" width="4.28515625" style="13" customWidth="1"/>
    <col min="54" max="60" width="9.140625" style="10"/>
    <col min="61" max="61" width="19.42578125" style="10" customWidth="1"/>
    <col min="62" max="62" width="9.42578125" style="10" customWidth="1"/>
    <col min="63" max="63" width="11.7109375" style="10" customWidth="1"/>
    <col min="64" max="64" width="12" style="10" customWidth="1"/>
    <col min="65" max="66" width="9.28515625" style="10" bestFit="1" customWidth="1"/>
    <col min="67" max="68" width="9.140625" style="10"/>
    <col min="69" max="69" width="11.7109375" style="10" customWidth="1"/>
    <col min="70" max="70" width="10.7109375" style="10" customWidth="1"/>
    <col min="71" max="72" width="9.28515625" style="10" bestFit="1" customWidth="1"/>
    <col min="73" max="76" width="9.140625" style="10"/>
    <col min="77" max="77" width="14.85546875" style="10" customWidth="1"/>
    <col min="78" max="78" width="33.85546875" style="10" customWidth="1"/>
    <col min="79" max="79" width="11" style="10" customWidth="1"/>
    <col min="80" max="80" width="16.42578125" style="10" customWidth="1"/>
    <col min="81" max="81" width="11.28515625" style="10" customWidth="1"/>
    <col min="82" max="82" width="9.28515625" style="10" bestFit="1" customWidth="1"/>
    <col min="83" max="86" width="9.140625" style="10"/>
    <col min="87" max="87" width="9.28515625" style="10" bestFit="1" customWidth="1"/>
    <col min="88" max="92" width="9.140625" style="10"/>
    <col min="93" max="93" width="23" style="10" customWidth="1"/>
    <col min="94" max="94" width="10" style="10" customWidth="1"/>
    <col min="95" max="95" width="13.42578125" style="10" customWidth="1"/>
    <col min="96" max="96" width="11.85546875" style="10" customWidth="1"/>
    <col min="97" max="97" width="9.28515625" style="10" bestFit="1" customWidth="1"/>
    <col min="98" max="98" width="9.140625" style="10"/>
    <col min="99" max="99" width="13.5703125" style="10" customWidth="1"/>
    <col min="100" max="101" width="11.28515625" style="10" customWidth="1"/>
    <col min="102" max="106" width="9.140625" style="10"/>
    <col min="107" max="107" width="14.7109375" style="10" customWidth="1"/>
    <col min="108" max="108" width="22.7109375" style="10" customWidth="1"/>
    <col min="109" max="109" width="11.5703125" style="10" customWidth="1"/>
    <col min="110" max="110" width="11.28515625" style="10" customWidth="1"/>
    <col min="111" max="111" width="9.28515625" style="10" bestFit="1" customWidth="1"/>
    <col min="112" max="120" width="9.140625" style="10"/>
    <col min="121" max="121" width="14.42578125" style="10" customWidth="1"/>
    <col min="122" max="122" width="9.28515625" style="10" bestFit="1" customWidth="1"/>
    <col min="123" max="123" width="9.140625" style="10"/>
    <col min="124" max="124" width="12.140625" style="10" customWidth="1"/>
    <col min="125" max="125" width="9.28515625" style="10" bestFit="1" customWidth="1"/>
    <col min="126" max="16384" width="9.140625" style="10"/>
  </cols>
  <sheetData>
    <row r="1" spans="1:127" ht="29.25">
      <c r="A1" s="35"/>
      <c r="L1" s="118" t="s">
        <v>78</v>
      </c>
      <c r="AC1" s="116" t="s">
        <v>7</v>
      </c>
      <c r="AP1" s="114" t="s">
        <v>79</v>
      </c>
      <c r="BB1" s="112" t="s">
        <v>208</v>
      </c>
      <c r="BC1" s="264"/>
      <c r="BD1" s="264"/>
      <c r="BE1" s="264"/>
      <c r="BF1" s="264"/>
      <c r="BG1" s="264"/>
      <c r="BH1" s="264"/>
      <c r="BI1" s="264"/>
      <c r="BJ1" s="264"/>
      <c r="BK1" s="264"/>
      <c r="BL1" s="264"/>
      <c r="BM1" s="264"/>
      <c r="BN1" s="264"/>
      <c r="BO1" s="264"/>
      <c r="BP1" s="110" t="s">
        <v>70</v>
      </c>
      <c r="BQ1" s="265"/>
      <c r="BR1" s="265"/>
      <c r="BS1" s="265"/>
      <c r="BT1" s="265"/>
      <c r="BU1" s="265"/>
      <c r="BV1" s="265"/>
      <c r="BW1" s="265"/>
      <c r="BX1" s="265"/>
      <c r="BY1" s="265"/>
      <c r="BZ1" s="265"/>
      <c r="CA1" s="265"/>
      <c r="CB1" s="265"/>
      <c r="CC1" s="265"/>
      <c r="CD1" s="265"/>
      <c r="CE1" s="108" t="s">
        <v>8</v>
      </c>
      <c r="CF1" s="266"/>
      <c r="CG1" s="266"/>
      <c r="CH1" s="266"/>
      <c r="CI1" s="266"/>
      <c r="CJ1" s="266"/>
      <c r="CK1" s="266"/>
      <c r="CL1" s="266"/>
      <c r="CM1" s="266"/>
      <c r="CN1" s="266"/>
      <c r="CO1" s="266"/>
      <c r="CP1" s="266"/>
      <c r="CQ1" s="266"/>
      <c r="CR1" s="266"/>
      <c r="CS1" s="266"/>
      <c r="CT1" s="106" t="s">
        <v>71</v>
      </c>
      <c r="CU1" s="267"/>
      <c r="CV1" s="267"/>
      <c r="CW1" s="267"/>
      <c r="CX1" s="267"/>
      <c r="CY1" s="267"/>
      <c r="CZ1" s="267"/>
      <c r="DA1" s="267"/>
      <c r="DB1" s="267"/>
      <c r="DC1" s="267"/>
      <c r="DD1" s="267"/>
      <c r="DE1" s="267"/>
      <c r="DF1" s="267"/>
      <c r="DG1" s="267"/>
      <c r="DH1" s="267"/>
      <c r="DI1" s="267"/>
      <c r="DJ1" s="104" t="s">
        <v>10</v>
      </c>
      <c r="DK1" s="268"/>
      <c r="DL1" s="268"/>
      <c r="DM1" s="268"/>
      <c r="DN1" s="268"/>
      <c r="DO1" s="268"/>
      <c r="DP1" s="268"/>
      <c r="DQ1" s="268"/>
      <c r="DR1" s="268"/>
      <c r="DS1" s="268"/>
      <c r="DT1" s="268"/>
      <c r="DU1" s="268"/>
      <c r="DV1" s="268"/>
      <c r="DW1" s="268"/>
    </row>
    <row r="2" spans="1:127" ht="29.25">
      <c r="A2" s="35"/>
      <c r="L2" s="118"/>
      <c r="AC2" s="116"/>
      <c r="AP2" s="114"/>
      <c r="BB2" s="112"/>
      <c r="BC2" s="264"/>
      <c r="BD2" s="264"/>
      <c r="BE2" s="264"/>
      <c r="BF2" s="264"/>
      <c r="BG2" s="264"/>
      <c r="BH2" s="264"/>
      <c r="BI2" s="264"/>
      <c r="BJ2" s="264"/>
      <c r="BK2" s="264"/>
      <c r="BL2" s="264"/>
      <c r="BM2" s="264"/>
      <c r="BN2" s="264"/>
      <c r="BO2" s="264"/>
      <c r="BP2" s="110"/>
      <c r="BQ2" s="265"/>
      <c r="BR2" s="265"/>
      <c r="BS2" s="265"/>
      <c r="BT2" s="265"/>
      <c r="BU2" s="265"/>
      <c r="BV2" s="265"/>
      <c r="BW2" s="265"/>
      <c r="BX2" s="265"/>
      <c r="BY2" s="265"/>
      <c r="BZ2" s="265"/>
      <c r="CA2" s="265"/>
      <c r="CB2" s="265"/>
      <c r="CC2" s="265"/>
      <c r="CD2" s="265"/>
      <c r="CE2" s="108"/>
      <c r="CF2" s="266"/>
      <c r="CG2" s="266"/>
      <c r="CH2" s="266"/>
      <c r="CI2" s="266"/>
      <c r="CJ2" s="266"/>
      <c r="CK2" s="266"/>
      <c r="CL2" s="266"/>
      <c r="CM2" s="266"/>
      <c r="CN2" s="266"/>
      <c r="CO2" s="266"/>
      <c r="CP2" s="266"/>
      <c r="CQ2" s="266"/>
      <c r="CR2" s="266"/>
      <c r="CS2" s="266"/>
      <c r="CT2" s="106"/>
      <c r="CU2" s="267"/>
      <c r="CV2" s="267"/>
      <c r="CW2" s="267"/>
      <c r="CX2" s="267"/>
      <c r="CY2" s="267"/>
      <c r="CZ2" s="267"/>
      <c r="DA2" s="267"/>
      <c r="DB2" s="267"/>
      <c r="DC2" s="267"/>
      <c r="DD2" s="267"/>
      <c r="DE2" s="267"/>
      <c r="DF2" s="267"/>
      <c r="DG2" s="267"/>
      <c r="DH2" s="267"/>
      <c r="DI2" s="267"/>
      <c r="DJ2" s="104"/>
      <c r="DK2" s="268"/>
      <c r="DL2" s="268"/>
      <c r="DM2" s="268"/>
      <c r="DN2" s="268"/>
      <c r="DO2" s="268"/>
      <c r="DP2" s="268"/>
      <c r="DQ2" s="268"/>
      <c r="DR2" s="268"/>
      <c r="DS2" s="268"/>
      <c r="DT2" s="268"/>
      <c r="DU2" s="268"/>
      <c r="DV2" s="268"/>
      <c r="DW2" s="268"/>
    </row>
    <row r="3" spans="1:127" ht="29.25">
      <c r="A3" s="35"/>
      <c r="L3" s="118"/>
      <c r="AC3" s="116"/>
      <c r="AP3" s="114"/>
      <c r="BB3" s="112"/>
      <c r="BC3" s="264"/>
      <c r="BD3" s="264"/>
      <c r="BE3" s="264"/>
      <c r="BF3" s="264"/>
      <c r="BG3" s="264"/>
      <c r="BH3" s="264"/>
      <c r="BI3" s="264"/>
      <c r="BJ3" s="264"/>
      <c r="BK3" s="264"/>
      <c r="BL3" s="264"/>
      <c r="BM3" s="264"/>
      <c r="BN3" s="264"/>
      <c r="BO3" s="264"/>
      <c r="BP3" s="110"/>
      <c r="BQ3" s="265"/>
      <c r="BR3" s="265"/>
      <c r="BS3" s="265"/>
      <c r="BT3" s="265"/>
      <c r="BU3" s="265"/>
      <c r="BV3" s="265"/>
      <c r="BW3" s="265"/>
      <c r="BX3" s="265"/>
      <c r="BY3" s="265"/>
      <c r="BZ3" s="265"/>
      <c r="CA3" s="265"/>
      <c r="CB3" s="265"/>
      <c r="CC3" s="265"/>
      <c r="CD3" s="265"/>
      <c r="CE3" s="108"/>
      <c r="CF3" s="266"/>
      <c r="CG3" s="266"/>
      <c r="CH3" s="266"/>
      <c r="CI3" s="266"/>
      <c r="CJ3" s="266"/>
      <c r="CK3" s="266"/>
      <c r="CL3" s="266"/>
      <c r="CM3" s="266"/>
      <c r="CN3" s="266"/>
      <c r="CO3" s="266"/>
      <c r="CP3" s="266"/>
      <c r="CQ3" s="266"/>
      <c r="CR3" s="266"/>
      <c r="CS3" s="266"/>
      <c r="CT3" s="106"/>
      <c r="CU3" s="267"/>
      <c r="CV3" s="267"/>
      <c r="CW3" s="267"/>
      <c r="CX3" s="267"/>
      <c r="CY3" s="267"/>
      <c r="CZ3" s="267"/>
      <c r="DA3" s="267"/>
      <c r="DB3" s="267"/>
      <c r="DC3" s="267"/>
      <c r="DD3" s="267"/>
      <c r="DE3" s="267"/>
      <c r="DF3" s="267"/>
      <c r="DG3" s="267"/>
      <c r="DH3" s="267"/>
      <c r="DI3" s="267"/>
      <c r="DJ3" s="104"/>
      <c r="DK3" s="268"/>
      <c r="DL3" s="268"/>
      <c r="DM3" s="268"/>
      <c r="DN3" s="268"/>
      <c r="DO3" s="268"/>
      <c r="DP3" s="268"/>
      <c r="DQ3" s="268"/>
      <c r="DR3" s="268"/>
      <c r="DS3" s="268"/>
      <c r="DT3" s="268"/>
      <c r="DU3" s="268"/>
      <c r="DV3" s="268"/>
      <c r="DW3" s="268"/>
    </row>
    <row r="4" spans="1:127" ht="29.25">
      <c r="A4" s="35"/>
      <c r="L4" s="118"/>
      <c r="AC4" s="116"/>
      <c r="AP4" s="114"/>
      <c r="BB4" s="112"/>
      <c r="BC4" s="264"/>
      <c r="BD4" s="264"/>
      <c r="BE4" s="264"/>
      <c r="BF4" s="264"/>
      <c r="BG4" s="264"/>
      <c r="BH4" s="264"/>
      <c r="BI4" s="264"/>
      <c r="BJ4" s="264"/>
      <c r="BK4" s="264"/>
      <c r="BL4" s="264"/>
      <c r="BM4" s="264"/>
      <c r="BN4" s="264"/>
      <c r="BO4" s="264"/>
      <c r="BP4" s="110"/>
      <c r="BQ4" s="265"/>
      <c r="BR4" s="265"/>
      <c r="BS4" s="265"/>
      <c r="BT4" s="265"/>
      <c r="BU4" s="265"/>
      <c r="BV4" s="265"/>
      <c r="BW4" s="265"/>
      <c r="BX4" s="265"/>
      <c r="BY4" s="265"/>
      <c r="BZ4" s="265"/>
      <c r="CA4" s="265"/>
      <c r="CB4" s="265"/>
      <c r="CC4" s="265"/>
      <c r="CD4" s="265"/>
      <c r="CE4" s="108"/>
      <c r="CF4" s="266"/>
      <c r="CG4" s="266"/>
      <c r="CH4" s="266"/>
      <c r="CI4" s="266"/>
      <c r="CJ4" s="266"/>
      <c r="CK4" s="266"/>
      <c r="CL4" s="266"/>
      <c r="CM4" s="266"/>
      <c r="CN4" s="266"/>
      <c r="CO4" s="266"/>
      <c r="CP4" s="266"/>
      <c r="CQ4" s="266"/>
      <c r="CR4" s="266"/>
      <c r="CS4" s="266"/>
      <c r="CT4" s="106"/>
      <c r="CU4" s="267"/>
      <c r="CV4" s="267"/>
      <c r="CW4" s="267"/>
      <c r="CX4" s="267"/>
      <c r="CY4" s="267"/>
      <c r="CZ4" s="267"/>
      <c r="DA4" s="267"/>
      <c r="DB4" s="267"/>
      <c r="DC4" s="267"/>
      <c r="DD4" s="267"/>
      <c r="DE4" s="267"/>
      <c r="DF4" s="267"/>
      <c r="DG4" s="267"/>
      <c r="DH4" s="267"/>
      <c r="DI4" s="267"/>
      <c r="DJ4" s="104"/>
      <c r="DK4" s="268"/>
      <c r="DL4" s="268"/>
      <c r="DM4" s="268"/>
      <c r="DN4" s="268"/>
      <c r="DO4" s="268"/>
      <c r="DP4" s="268"/>
      <c r="DQ4" s="268"/>
      <c r="DR4" s="268"/>
      <c r="DS4" s="268"/>
      <c r="DT4" s="268"/>
      <c r="DU4" s="268"/>
      <c r="DV4" s="268"/>
      <c r="DW4" s="268"/>
    </row>
    <row r="5" spans="1:127" ht="29.25">
      <c r="A5" s="35"/>
      <c r="L5" s="118"/>
      <c r="AC5" s="116"/>
      <c r="AP5" s="114"/>
      <c r="BB5" s="112"/>
      <c r="BC5" s="264"/>
      <c r="BD5" s="264"/>
      <c r="BE5" s="264"/>
      <c r="BF5" s="264"/>
      <c r="BG5" s="264"/>
      <c r="BH5" s="264"/>
      <c r="BI5" s="264"/>
      <c r="BJ5" s="264"/>
      <c r="BK5" s="264"/>
      <c r="BL5" s="264"/>
      <c r="BM5" s="264"/>
      <c r="BN5" s="264"/>
      <c r="BO5" s="264"/>
      <c r="BP5" s="110"/>
      <c r="BQ5" s="265"/>
      <c r="BR5" s="265"/>
      <c r="BS5" s="265"/>
      <c r="BT5" s="265"/>
      <c r="BU5" s="265"/>
      <c r="BV5" s="265"/>
      <c r="BW5" s="265"/>
      <c r="BX5" s="265"/>
      <c r="BY5" s="265"/>
      <c r="BZ5" s="265"/>
      <c r="CA5" s="265"/>
      <c r="CB5" s="265"/>
      <c r="CC5" s="265"/>
      <c r="CD5" s="265"/>
      <c r="CE5" s="108"/>
      <c r="CF5" s="266"/>
      <c r="CG5" s="266"/>
      <c r="CH5" s="266"/>
      <c r="CI5" s="266"/>
      <c r="CJ5" s="266"/>
      <c r="CK5" s="266"/>
      <c r="CL5" s="266"/>
      <c r="CM5" s="266"/>
      <c r="CN5" s="266"/>
      <c r="CO5" s="266"/>
      <c r="CP5" s="266"/>
      <c r="CQ5" s="266"/>
      <c r="CR5" s="266"/>
      <c r="CS5" s="266"/>
      <c r="CT5" s="106"/>
      <c r="CU5" s="267"/>
      <c r="CV5" s="267"/>
      <c r="CW5" s="267"/>
      <c r="CX5" s="267"/>
      <c r="CY5" s="267"/>
      <c r="CZ5" s="267"/>
      <c r="DA5" s="267"/>
      <c r="DB5" s="267"/>
      <c r="DC5" s="267"/>
      <c r="DD5" s="267"/>
      <c r="DE5" s="267"/>
      <c r="DF5" s="267"/>
      <c r="DG5" s="267"/>
      <c r="DH5" s="267"/>
      <c r="DI5" s="267"/>
      <c r="DJ5" s="104"/>
      <c r="DK5" s="268"/>
      <c r="DL5" s="268"/>
      <c r="DM5" s="268"/>
      <c r="DN5" s="268"/>
      <c r="DO5" s="268"/>
      <c r="DP5" s="268"/>
      <c r="DQ5" s="268"/>
      <c r="DR5" s="268"/>
      <c r="DS5" s="268"/>
      <c r="DT5" s="268"/>
      <c r="DU5" s="268"/>
      <c r="DV5" s="268"/>
      <c r="DW5" s="268"/>
    </row>
    <row r="6" spans="1:127">
      <c r="A6" s="35"/>
      <c r="BB6" s="264"/>
      <c r="BC6" s="264"/>
      <c r="BD6" s="264"/>
      <c r="BE6" s="264"/>
      <c r="BF6" s="264"/>
      <c r="BG6" s="264"/>
      <c r="BH6" s="264"/>
      <c r="BI6" s="264"/>
      <c r="BJ6" s="264"/>
      <c r="BK6" s="264"/>
      <c r="BL6" s="264"/>
      <c r="BM6" s="264"/>
      <c r="BN6" s="264"/>
      <c r="BO6" s="264"/>
      <c r="BP6" s="265"/>
      <c r="BQ6" s="265"/>
      <c r="BR6" s="265"/>
      <c r="BS6" s="265"/>
      <c r="BT6" s="265"/>
      <c r="BU6" s="265"/>
      <c r="BV6" s="265"/>
      <c r="BW6" s="265"/>
      <c r="BX6" s="265"/>
      <c r="BY6" s="265"/>
      <c r="BZ6" s="265"/>
      <c r="CA6" s="265"/>
      <c r="CB6" s="265"/>
      <c r="CC6" s="265"/>
      <c r="CD6" s="265"/>
      <c r="CE6" s="266"/>
      <c r="CF6" s="266"/>
      <c r="CG6" s="266"/>
      <c r="CH6" s="266"/>
      <c r="CI6" s="266"/>
      <c r="CJ6" s="266"/>
      <c r="CK6" s="266"/>
      <c r="CL6" s="266"/>
      <c r="CM6" s="266"/>
      <c r="CN6" s="266"/>
      <c r="CO6" s="266"/>
      <c r="CP6" s="266"/>
      <c r="CQ6" s="266"/>
      <c r="CR6" s="266"/>
      <c r="CS6" s="266"/>
      <c r="CT6" s="267"/>
      <c r="CU6" s="267"/>
      <c r="CV6" s="267"/>
      <c r="CW6" s="267"/>
      <c r="CX6" s="267"/>
      <c r="CY6" s="267"/>
      <c r="CZ6" s="267"/>
      <c r="DA6" s="267"/>
      <c r="DB6" s="267"/>
      <c r="DC6" s="267"/>
      <c r="DD6" s="267"/>
      <c r="DE6" s="267"/>
      <c r="DF6" s="267"/>
      <c r="DG6" s="267"/>
      <c r="DH6" s="267"/>
      <c r="DI6" s="267"/>
      <c r="DJ6" s="268"/>
      <c r="DK6" s="268"/>
      <c r="DL6" s="268"/>
      <c r="DM6" s="268"/>
      <c r="DN6" s="268"/>
      <c r="DO6" s="268"/>
      <c r="DP6" s="268"/>
      <c r="DQ6" s="268"/>
      <c r="DR6" s="268"/>
      <c r="DS6" s="268"/>
      <c r="DT6" s="268"/>
      <c r="DU6" s="268"/>
      <c r="DV6" s="268"/>
      <c r="DW6" s="268"/>
    </row>
    <row r="7" spans="1:127">
      <c r="A7" s="35"/>
      <c r="BB7" s="264"/>
      <c r="BC7" s="264"/>
      <c r="BD7" s="264"/>
      <c r="BE7" s="264"/>
      <c r="BF7" s="264"/>
      <c r="BG7" s="264"/>
      <c r="BH7" s="264"/>
      <c r="BI7" s="264"/>
      <c r="BJ7" s="264"/>
      <c r="BK7" s="264"/>
      <c r="BL7" s="264"/>
      <c r="BM7" s="264"/>
      <c r="BN7" s="264"/>
      <c r="BO7" s="264"/>
      <c r="BP7" s="265"/>
      <c r="BQ7" s="265"/>
      <c r="BR7" s="265"/>
      <c r="BS7" s="265"/>
      <c r="BT7" s="265"/>
      <c r="BU7" s="265"/>
      <c r="BV7" s="265"/>
      <c r="BW7" s="265"/>
      <c r="BX7" s="265"/>
      <c r="BY7" s="265"/>
      <c r="BZ7" s="265"/>
      <c r="CA7" s="265"/>
      <c r="CB7" s="265"/>
      <c r="CC7" s="265"/>
      <c r="CD7" s="265"/>
      <c r="CE7" s="266"/>
      <c r="CF7" s="266"/>
      <c r="CG7" s="266"/>
      <c r="CH7" s="266"/>
      <c r="CI7" s="266"/>
      <c r="CJ7" s="266"/>
      <c r="CK7" s="266"/>
      <c r="CL7" s="266"/>
      <c r="CM7" s="266"/>
      <c r="CN7" s="266"/>
      <c r="CO7" s="266"/>
      <c r="CP7" s="266"/>
      <c r="CQ7" s="266"/>
      <c r="CR7" s="266"/>
      <c r="CS7" s="266"/>
      <c r="CT7" s="267"/>
      <c r="CU7" s="267"/>
      <c r="CV7" s="267"/>
      <c r="CW7" s="267"/>
      <c r="CX7" s="267"/>
      <c r="CY7" s="267"/>
      <c r="CZ7" s="267"/>
      <c r="DA7" s="267"/>
      <c r="DB7" s="267"/>
      <c r="DC7" s="267"/>
      <c r="DD7" s="267"/>
      <c r="DE7" s="267"/>
      <c r="DF7" s="267"/>
      <c r="DG7" s="267"/>
      <c r="DH7" s="267"/>
      <c r="DI7" s="267"/>
      <c r="DJ7" s="268"/>
      <c r="DK7" s="268"/>
      <c r="DL7" s="268"/>
      <c r="DM7" s="268"/>
      <c r="DN7" s="268"/>
      <c r="DO7" s="268"/>
      <c r="DP7" s="268"/>
      <c r="DQ7" s="268"/>
      <c r="DR7" s="268"/>
      <c r="DS7" s="268"/>
      <c r="DT7" s="268"/>
      <c r="DU7" s="268"/>
      <c r="DV7" s="268"/>
      <c r="DW7" s="268"/>
    </row>
    <row r="8" spans="1:127">
      <c r="BB8" s="14"/>
      <c r="BC8" s="264"/>
      <c r="BD8" s="264"/>
      <c r="BE8" s="264"/>
      <c r="BF8" s="264"/>
      <c r="BG8" s="264"/>
      <c r="BH8" s="264"/>
      <c r="BI8" s="264"/>
      <c r="BJ8" s="264"/>
      <c r="BK8" s="264"/>
      <c r="BL8" s="264"/>
      <c r="BM8" s="264"/>
      <c r="BN8" s="264"/>
      <c r="BO8" s="264"/>
      <c r="BP8" s="265"/>
      <c r="BQ8" s="265"/>
      <c r="BR8" s="265"/>
      <c r="BS8" s="265"/>
      <c r="BT8" s="265"/>
      <c r="BU8" s="265"/>
      <c r="BV8" s="265"/>
      <c r="BW8" s="265"/>
      <c r="BX8" s="265"/>
      <c r="BY8" s="265"/>
      <c r="BZ8" s="265"/>
      <c r="CA8" s="265"/>
      <c r="CB8" s="265"/>
      <c r="CC8" s="265"/>
      <c r="CD8" s="265"/>
      <c r="CE8" s="266"/>
      <c r="CF8" s="266"/>
      <c r="CG8" s="266"/>
      <c r="CH8" s="266"/>
      <c r="CI8" s="266"/>
      <c r="CJ8" s="266"/>
      <c r="CK8" s="266"/>
      <c r="CL8" s="266"/>
      <c r="CM8" s="266"/>
      <c r="CN8" s="266"/>
      <c r="CO8" s="266"/>
      <c r="CP8" s="266"/>
      <c r="CQ8" s="266"/>
      <c r="CR8" s="266"/>
      <c r="CS8" s="266"/>
      <c r="CT8" s="267"/>
      <c r="CU8" s="267"/>
      <c r="CV8" s="267"/>
      <c r="CW8" s="267"/>
      <c r="CX8" s="267"/>
      <c r="CY8" s="267"/>
      <c r="CZ8" s="267"/>
      <c r="DA8" s="267"/>
      <c r="DB8" s="267"/>
      <c r="DC8" s="267"/>
      <c r="DD8" s="267"/>
      <c r="DE8" s="267"/>
      <c r="DF8" s="267"/>
      <c r="DG8" s="267"/>
      <c r="DH8" s="267"/>
      <c r="DI8" s="267"/>
      <c r="DJ8" s="268"/>
      <c r="DK8" s="268"/>
      <c r="DL8" s="268"/>
      <c r="DM8" s="268"/>
      <c r="DN8" s="268"/>
      <c r="DO8" s="268"/>
      <c r="DP8" s="268"/>
      <c r="DQ8" s="268"/>
      <c r="DR8" s="268"/>
      <c r="DS8" s="268"/>
      <c r="DT8" s="268"/>
      <c r="DU8" s="268"/>
      <c r="DV8" s="268"/>
      <c r="DW8" s="268"/>
    </row>
    <row r="9" spans="1:127" ht="35.25">
      <c r="A9" s="269" t="s">
        <v>0</v>
      </c>
      <c r="B9" s="270" t="s">
        <v>75</v>
      </c>
      <c r="C9" s="271" t="s">
        <v>6</v>
      </c>
      <c r="D9" s="37"/>
      <c r="E9" s="272"/>
      <c r="F9" s="272"/>
      <c r="G9" s="271" t="s">
        <v>13</v>
      </c>
      <c r="H9" s="272"/>
      <c r="I9" s="272" t="s">
        <v>94</v>
      </c>
      <c r="M9" s="117" t="s">
        <v>246</v>
      </c>
      <c r="AD9" s="115" t="s">
        <v>246</v>
      </c>
      <c r="AP9" s="113" t="s">
        <v>246</v>
      </c>
      <c r="AQ9" s="273"/>
      <c r="BB9" s="111" t="s">
        <v>246</v>
      </c>
      <c r="BC9" s="264"/>
      <c r="BD9" s="264"/>
      <c r="BE9" s="264"/>
      <c r="BF9" s="264"/>
      <c r="BG9" s="264"/>
      <c r="BH9" s="264"/>
      <c r="BI9" s="264"/>
      <c r="BJ9" s="264"/>
      <c r="BK9" s="264"/>
      <c r="BL9" s="264"/>
      <c r="BM9" s="264"/>
      <c r="BN9" s="264"/>
      <c r="BO9" s="264"/>
      <c r="BP9" s="109" t="s">
        <v>246</v>
      </c>
      <c r="BQ9" s="265"/>
      <c r="BR9" s="265"/>
      <c r="BS9" s="265"/>
      <c r="BT9" s="265"/>
      <c r="BU9" s="265"/>
      <c r="BV9" s="265"/>
      <c r="BW9" s="265"/>
      <c r="BX9" s="265"/>
      <c r="BY9" s="265"/>
      <c r="BZ9" s="265"/>
      <c r="CA9" s="265"/>
      <c r="CB9" s="265"/>
      <c r="CC9" s="265"/>
      <c r="CD9" s="265"/>
      <c r="CE9" s="107" t="s">
        <v>246</v>
      </c>
      <c r="CF9" s="266"/>
      <c r="CG9" s="266"/>
      <c r="CH9" s="266"/>
      <c r="CI9" s="266"/>
      <c r="CJ9" s="266"/>
      <c r="CK9" s="266"/>
      <c r="CL9" s="266"/>
      <c r="CM9" s="266"/>
      <c r="CN9" s="266"/>
      <c r="CO9" s="266"/>
      <c r="CP9" s="266"/>
      <c r="CQ9" s="266"/>
      <c r="CR9" s="266"/>
      <c r="CS9" s="266"/>
      <c r="CT9" s="105" t="s">
        <v>247</v>
      </c>
      <c r="CU9" s="267"/>
      <c r="CV9" s="267"/>
      <c r="CW9" s="267"/>
      <c r="CX9" s="267"/>
      <c r="CY9" s="267"/>
      <c r="CZ9" s="267"/>
      <c r="DA9" s="267"/>
      <c r="DB9" s="267"/>
      <c r="DC9" s="267"/>
      <c r="DD9" s="267"/>
      <c r="DE9" s="267"/>
      <c r="DF9" s="267"/>
      <c r="DG9" s="267"/>
      <c r="DH9" s="267"/>
      <c r="DI9" s="267"/>
      <c r="DJ9" s="103" t="s">
        <v>246</v>
      </c>
      <c r="DK9" s="268"/>
      <c r="DL9" s="268"/>
      <c r="DM9" s="268"/>
      <c r="DN9" s="268"/>
      <c r="DO9" s="268"/>
      <c r="DP9" s="268"/>
      <c r="DQ9" s="268"/>
      <c r="DR9" s="268"/>
      <c r="DS9" s="268"/>
      <c r="DT9" s="268"/>
      <c r="DU9" s="268"/>
      <c r="DV9" s="268"/>
      <c r="DW9" s="268"/>
    </row>
    <row r="10" spans="1:127">
      <c r="A10" s="12" t="s">
        <v>7</v>
      </c>
      <c r="B10" s="274">
        <f>AF49</f>
        <v>0.19235827962646324</v>
      </c>
      <c r="C10" s="274">
        <f>AG49</f>
        <v>0.80764172037353676</v>
      </c>
      <c r="D10" s="274"/>
      <c r="E10" s="275"/>
      <c r="F10" s="275"/>
      <c r="G10" s="276">
        <f>SUM(B10:E10)</f>
        <v>1</v>
      </c>
      <c r="H10" s="275"/>
      <c r="I10" s="277">
        <f>SUM(AF43:AG43)</f>
        <v>148093.21739130435</v>
      </c>
      <c r="M10" s="11" t="s">
        <v>234</v>
      </c>
      <c r="AD10" s="12" t="s">
        <v>234</v>
      </c>
      <c r="AP10" s="13" t="s">
        <v>234</v>
      </c>
      <c r="BB10" s="264" t="s">
        <v>234</v>
      </c>
      <c r="BC10" s="264"/>
      <c r="BD10" s="264"/>
      <c r="BE10" s="264"/>
      <c r="BF10" s="264"/>
      <c r="BG10" s="264"/>
      <c r="BH10" s="264"/>
      <c r="BI10" s="264"/>
      <c r="BJ10" s="264"/>
      <c r="BK10" s="264"/>
      <c r="BL10" s="264"/>
      <c r="BM10" s="264"/>
      <c r="BN10" s="264"/>
      <c r="BO10" s="264"/>
      <c r="BP10" s="265" t="s">
        <v>234</v>
      </c>
      <c r="BQ10" s="265"/>
      <c r="BR10" s="265"/>
      <c r="BS10" s="265"/>
      <c r="BT10" s="265"/>
      <c r="BU10" s="265"/>
      <c r="BV10" s="265"/>
      <c r="BW10" s="265"/>
      <c r="BX10" s="265"/>
      <c r="BY10" s="265"/>
      <c r="BZ10" s="265"/>
      <c r="CA10" s="265"/>
      <c r="CB10" s="265"/>
      <c r="CC10" s="265"/>
      <c r="CD10" s="265"/>
      <c r="CE10" s="266" t="s">
        <v>234</v>
      </c>
      <c r="CF10" s="266"/>
      <c r="CG10" s="266"/>
      <c r="CH10" s="266"/>
      <c r="CI10" s="266"/>
      <c r="CJ10" s="266"/>
      <c r="CK10" s="266"/>
      <c r="CL10" s="266"/>
      <c r="CM10" s="266"/>
      <c r="CN10" s="266"/>
      <c r="CO10" s="266"/>
      <c r="CP10" s="266"/>
      <c r="CQ10" s="266"/>
      <c r="CR10" s="266"/>
      <c r="CS10" s="266"/>
      <c r="CT10" s="267" t="s">
        <v>234</v>
      </c>
      <c r="CU10" s="267"/>
      <c r="CV10" s="267"/>
      <c r="CW10" s="267"/>
      <c r="CX10" s="267"/>
      <c r="CY10" s="267"/>
      <c r="CZ10" s="267"/>
      <c r="DA10" s="267"/>
      <c r="DB10" s="267"/>
      <c r="DC10" s="267"/>
      <c r="DD10" s="267"/>
      <c r="DE10" s="267"/>
      <c r="DF10" s="267"/>
      <c r="DG10" s="267"/>
      <c r="DH10" s="267"/>
      <c r="DI10" s="267"/>
      <c r="DJ10" s="268" t="s">
        <v>234</v>
      </c>
      <c r="DK10" s="268"/>
      <c r="DL10" s="268"/>
      <c r="DM10" s="268"/>
      <c r="DN10" s="268"/>
      <c r="DO10" s="268"/>
      <c r="DP10" s="268"/>
      <c r="DQ10" s="268"/>
      <c r="DR10" s="268"/>
      <c r="DS10" s="268"/>
      <c r="DT10" s="268"/>
      <c r="DU10" s="268"/>
      <c r="DV10" s="268"/>
      <c r="DW10" s="268"/>
    </row>
    <row r="11" spans="1:127">
      <c r="A11" s="11" t="s">
        <v>63</v>
      </c>
      <c r="B11" s="278">
        <f>O43</f>
        <v>0.64067283137976427</v>
      </c>
      <c r="C11" s="278">
        <f>Q43+S43</f>
        <v>0.35932716862023573</v>
      </c>
      <c r="D11" s="278"/>
      <c r="E11" s="279"/>
      <c r="F11" s="279"/>
      <c r="G11" s="280">
        <f>SUM(B11:E11)</f>
        <v>1</v>
      </c>
      <c r="H11" s="279"/>
      <c r="I11" s="281">
        <f>N43</f>
        <v>189141</v>
      </c>
      <c r="BB11" s="264"/>
      <c r="BC11" s="264"/>
      <c r="BD11" s="264"/>
      <c r="BE11" s="264"/>
      <c r="BF11" s="264"/>
      <c r="BG11" s="264"/>
      <c r="BH11" s="264"/>
      <c r="BI11" s="264"/>
      <c r="BJ11" s="264"/>
      <c r="BK11" s="264"/>
      <c r="BL11" s="264"/>
      <c r="BM11" s="264"/>
      <c r="BN11" s="264"/>
      <c r="BO11" s="264"/>
      <c r="BP11" s="265"/>
      <c r="BQ11" s="265"/>
      <c r="BR11" s="265"/>
      <c r="BS11" s="265"/>
      <c r="BT11" s="265"/>
      <c r="BU11" s="265"/>
      <c r="BV11" s="265"/>
      <c r="BW11" s="265"/>
      <c r="BX11" s="265"/>
      <c r="BY11" s="265"/>
      <c r="BZ11" s="265"/>
      <c r="CA11" s="265"/>
      <c r="CB11" s="265"/>
      <c r="CC11" s="265"/>
      <c r="CD11" s="265"/>
      <c r="CE11" s="266"/>
      <c r="CF11" s="266"/>
      <c r="CG11" s="266"/>
      <c r="CH11" s="266"/>
      <c r="CI11" s="266"/>
      <c r="CJ11" s="266"/>
      <c r="CK11" s="266"/>
      <c r="CL11" s="266"/>
      <c r="CM11" s="266"/>
      <c r="CN11" s="266"/>
      <c r="CO11" s="266"/>
      <c r="CP11" s="266"/>
      <c r="CQ11" s="266"/>
      <c r="CR11" s="266"/>
      <c r="CS11" s="266"/>
      <c r="CT11" s="267"/>
      <c r="CU11" s="267"/>
      <c r="CV11" s="267"/>
      <c r="CW11" s="267"/>
      <c r="CX11" s="267"/>
      <c r="CY11" s="267"/>
      <c r="CZ11" s="267"/>
      <c r="DA11" s="267"/>
      <c r="DB11" s="267"/>
      <c r="DC11" s="267"/>
      <c r="DD11" s="267"/>
      <c r="DE11" s="267"/>
      <c r="DF11" s="267"/>
      <c r="DG11" s="267"/>
      <c r="DH11" s="267"/>
      <c r="DI11" s="267"/>
      <c r="DJ11" s="268"/>
      <c r="DK11" s="268"/>
      <c r="DL11" s="268"/>
      <c r="DM11" s="268"/>
      <c r="DN11" s="268"/>
      <c r="DO11" s="268"/>
      <c r="DP11" s="268"/>
      <c r="DQ11" s="268"/>
      <c r="DR11" s="268"/>
      <c r="DS11" s="268"/>
      <c r="DT11" s="268"/>
      <c r="DU11" s="268"/>
      <c r="DV11" s="268"/>
      <c r="DW11" s="268"/>
    </row>
    <row r="12" spans="1:127" ht="15" customHeight="1">
      <c r="A12" s="13" t="s">
        <v>9</v>
      </c>
      <c r="B12" s="282">
        <f>AT42</f>
        <v>0.24590163934426229</v>
      </c>
      <c r="C12" s="282">
        <f>AT41</f>
        <v>0.75409836065573765</v>
      </c>
      <c r="D12" s="283"/>
      <c r="E12" s="284"/>
      <c r="F12" s="284"/>
      <c r="G12" s="285">
        <f>SUM(B12:E12)</f>
        <v>1</v>
      </c>
      <c r="H12" s="284"/>
      <c r="I12" s="284">
        <v>61</v>
      </c>
      <c r="BB12" s="264"/>
      <c r="BC12" s="264"/>
      <c r="BD12" s="264"/>
      <c r="BE12" s="264"/>
      <c r="BF12" s="264"/>
      <c r="BG12" s="264"/>
      <c r="BH12" s="264"/>
      <c r="BI12" s="264"/>
      <c r="BJ12" s="264"/>
      <c r="BK12" s="264"/>
      <c r="BL12" s="264"/>
      <c r="BM12" s="264"/>
      <c r="BN12" s="264"/>
      <c r="BO12" s="264"/>
      <c r="BP12" s="265"/>
      <c r="BQ12" s="265"/>
      <c r="BR12" s="265"/>
      <c r="BS12" s="265"/>
      <c r="BT12" s="265"/>
      <c r="BU12" s="265"/>
      <c r="BV12" s="265"/>
      <c r="BW12" s="265"/>
      <c r="BX12" s="265"/>
      <c r="BY12" s="265"/>
      <c r="BZ12" s="265"/>
      <c r="CA12" s="265"/>
      <c r="CB12" s="265"/>
      <c r="CC12" s="265"/>
      <c r="CD12" s="265"/>
      <c r="CE12" s="266"/>
      <c r="CF12" s="266"/>
      <c r="CG12" s="266"/>
      <c r="CH12" s="266"/>
      <c r="CI12" s="266"/>
      <c r="CJ12" s="266"/>
      <c r="CK12" s="266"/>
      <c r="CL12" s="266"/>
      <c r="CM12" s="266"/>
      <c r="CN12" s="266"/>
      <c r="CO12" s="266"/>
      <c r="CP12" s="266"/>
      <c r="CQ12" s="266"/>
      <c r="CR12" s="266"/>
      <c r="CS12" s="266"/>
      <c r="CT12" s="267"/>
      <c r="CU12" s="267"/>
      <c r="CV12" s="267"/>
      <c r="CW12" s="267"/>
      <c r="CX12" s="267"/>
      <c r="CY12" s="267"/>
      <c r="CZ12" s="267"/>
      <c r="DA12" s="267"/>
      <c r="DB12" s="267"/>
      <c r="DC12" s="267"/>
      <c r="DD12" s="267"/>
      <c r="DE12" s="267"/>
      <c r="DF12" s="267"/>
      <c r="DG12" s="267"/>
      <c r="DH12" s="267"/>
      <c r="DI12" s="267"/>
      <c r="DJ12" s="268"/>
      <c r="DK12" s="268"/>
      <c r="DL12" s="268"/>
      <c r="DM12" s="268"/>
      <c r="DN12" s="268"/>
      <c r="DO12" s="268"/>
      <c r="DP12" s="268"/>
      <c r="DQ12" s="268"/>
      <c r="DR12" s="268"/>
      <c r="DS12" s="268"/>
      <c r="DT12" s="268"/>
      <c r="DU12" s="268"/>
      <c r="DV12" s="268"/>
      <c r="DW12" s="268"/>
    </row>
    <row r="13" spans="1:127">
      <c r="A13" s="264" t="s">
        <v>208</v>
      </c>
      <c r="B13" s="286">
        <f>BL34</f>
        <v>0.44136525725929698</v>
      </c>
      <c r="C13" s="286">
        <f>BK34+BM34</f>
        <v>0.55863474274070302</v>
      </c>
      <c r="D13" s="287"/>
      <c r="E13" s="288"/>
      <c r="F13" s="288"/>
      <c r="G13" s="289">
        <f>SUM(B13:E13)</f>
        <v>1</v>
      </c>
      <c r="H13" s="288"/>
      <c r="I13" s="288">
        <f>BI33</f>
        <v>588900</v>
      </c>
      <c r="M13" s="11" t="s">
        <v>248</v>
      </c>
      <c r="AD13" s="12" t="s">
        <v>250</v>
      </c>
      <c r="BB13" s="264" t="s">
        <v>304</v>
      </c>
      <c r="BC13" s="264"/>
      <c r="BD13" s="264"/>
      <c r="BE13" s="264"/>
      <c r="BF13" s="264"/>
      <c r="BG13" s="264"/>
      <c r="BH13" s="264"/>
      <c r="BI13" s="264"/>
      <c r="BJ13" s="264"/>
      <c r="BK13" s="264"/>
      <c r="BL13" s="264"/>
      <c r="BM13" s="264"/>
      <c r="BN13" s="264"/>
      <c r="BO13" s="264"/>
      <c r="BP13" s="265" t="s">
        <v>239</v>
      </c>
      <c r="BQ13" s="265"/>
      <c r="BR13" s="265"/>
      <c r="BS13" s="265"/>
      <c r="BT13" s="265"/>
      <c r="BU13" s="265"/>
      <c r="BV13" s="265"/>
      <c r="BW13" s="265"/>
      <c r="BX13" s="265"/>
      <c r="BY13" s="265"/>
      <c r="BZ13" s="265"/>
      <c r="CA13" s="265"/>
      <c r="CB13" s="265"/>
      <c r="CC13" s="265"/>
      <c r="CD13" s="265"/>
      <c r="CE13" s="266" t="s">
        <v>305</v>
      </c>
      <c r="CF13" s="266"/>
      <c r="CG13" s="266"/>
      <c r="CH13" s="266"/>
      <c r="CI13" s="266"/>
      <c r="CJ13" s="266"/>
      <c r="CK13" s="266"/>
      <c r="CL13" s="266"/>
      <c r="CM13" s="266"/>
      <c r="CN13" s="266"/>
      <c r="CO13" s="266"/>
      <c r="CP13" s="266"/>
      <c r="CQ13" s="266"/>
      <c r="CR13" s="266"/>
      <c r="CS13" s="266"/>
      <c r="CT13" s="267" t="s">
        <v>306</v>
      </c>
      <c r="CU13" s="267"/>
      <c r="CV13" s="267"/>
      <c r="CW13" s="267"/>
      <c r="CX13" s="267"/>
      <c r="CY13" s="267"/>
      <c r="CZ13" s="267"/>
      <c r="DA13" s="267"/>
      <c r="DB13" s="267"/>
      <c r="DC13" s="267"/>
      <c r="DD13" s="267"/>
      <c r="DE13" s="267"/>
      <c r="DF13" s="267"/>
      <c r="DG13" s="267"/>
      <c r="DH13" s="267"/>
      <c r="DI13" s="267"/>
      <c r="DJ13" s="268" t="s">
        <v>307</v>
      </c>
      <c r="DK13" s="268"/>
      <c r="DL13" s="268"/>
      <c r="DM13" s="268"/>
      <c r="DN13" s="268"/>
      <c r="DO13" s="268"/>
      <c r="DP13" s="268"/>
      <c r="DQ13" s="268"/>
      <c r="DR13" s="268"/>
      <c r="DS13" s="268"/>
      <c r="DT13" s="268"/>
      <c r="DU13" s="268"/>
      <c r="DV13" s="268"/>
      <c r="DW13" s="268"/>
    </row>
    <row r="14" spans="1:127">
      <c r="A14" s="268" t="s">
        <v>10</v>
      </c>
      <c r="B14" s="290">
        <f>DU23</f>
        <v>0.8</v>
      </c>
      <c r="C14" s="290">
        <f>DT23</f>
        <v>0.2</v>
      </c>
      <c r="D14" s="291"/>
      <c r="E14" s="292"/>
      <c r="F14" s="292"/>
      <c r="G14" s="293">
        <f t="shared" ref="G14:G17" si="0">SUM(B14:E14)</f>
        <v>1</v>
      </c>
      <c r="H14" s="292"/>
      <c r="I14" s="294">
        <f>DR23</f>
        <v>3500</v>
      </c>
      <c r="AD14" s="295" t="s">
        <v>82</v>
      </c>
      <c r="AQ14" s="273" t="s">
        <v>80</v>
      </c>
      <c r="BB14" s="296" t="s">
        <v>81</v>
      </c>
      <c r="BC14" s="264"/>
      <c r="BD14" s="264"/>
      <c r="BE14" s="264"/>
      <c r="BF14" s="264"/>
      <c r="BG14" s="264"/>
      <c r="BH14" s="264"/>
      <c r="BI14" s="264"/>
      <c r="BJ14" s="264"/>
      <c r="BK14" s="264"/>
      <c r="BL14" s="264"/>
      <c r="BM14" s="264"/>
      <c r="BN14" s="264"/>
      <c r="BO14" s="264"/>
      <c r="BP14" s="297" t="s">
        <v>81</v>
      </c>
      <c r="BQ14" s="265"/>
      <c r="BR14" s="265"/>
      <c r="BS14" s="265"/>
      <c r="BT14" s="265"/>
      <c r="BU14" s="265"/>
      <c r="BV14" s="265"/>
      <c r="BW14" s="265"/>
      <c r="BX14" s="265"/>
      <c r="BY14" s="265"/>
      <c r="BZ14" s="265"/>
      <c r="CA14" s="265"/>
      <c r="CB14" s="265"/>
      <c r="CC14" s="265"/>
      <c r="CD14" s="265"/>
      <c r="CE14" s="298" t="s">
        <v>81</v>
      </c>
      <c r="CF14" s="266"/>
      <c r="CG14" s="266"/>
      <c r="CH14" s="266"/>
      <c r="CI14" s="266"/>
      <c r="CJ14" s="266"/>
      <c r="CK14" s="266"/>
      <c r="CL14" s="266"/>
      <c r="CM14" s="266"/>
      <c r="CN14" s="266"/>
      <c r="CO14" s="266"/>
      <c r="CP14" s="266"/>
      <c r="CQ14" s="266"/>
      <c r="CR14" s="266"/>
      <c r="CS14" s="266"/>
      <c r="CT14" s="299" t="s">
        <v>81</v>
      </c>
      <c r="CU14" s="267"/>
      <c r="CV14" s="267"/>
      <c r="CW14" s="267"/>
      <c r="CX14" s="267"/>
      <c r="CY14" s="267"/>
      <c r="CZ14" s="267"/>
      <c r="DA14" s="267"/>
      <c r="DB14" s="267"/>
      <c r="DC14" s="267"/>
      <c r="DD14" s="267"/>
      <c r="DE14" s="267"/>
      <c r="DF14" s="267"/>
      <c r="DG14" s="267"/>
      <c r="DH14" s="267"/>
      <c r="DI14" s="267"/>
      <c r="DJ14" s="300" t="s">
        <v>81</v>
      </c>
      <c r="DK14" s="268"/>
      <c r="DL14" s="268"/>
      <c r="DM14" s="268"/>
      <c r="DN14" s="268"/>
      <c r="DO14" s="268"/>
      <c r="DP14" s="268"/>
      <c r="DQ14" s="268"/>
      <c r="DR14" s="268"/>
      <c r="DS14" s="268"/>
      <c r="DT14" s="268"/>
      <c r="DU14" s="268"/>
      <c r="DV14" s="268"/>
      <c r="DW14" s="268"/>
    </row>
    <row r="15" spans="1:127">
      <c r="A15" s="265" t="s">
        <v>70</v>
      </c>
      <c r="B15" s="301">
        <f>BS43</f>
        <v>0.95</v>
      </c>
      <c r="C15" s="301">
        <f>BR43</f>
        <v>0.05</v>
      </c>
      <c r="D15" s="301"/>
      <c r="E15" s="302"/>
      <c r="F15" s="302"/>
      <c r="G15" s="303">
        <f t="shared" si="0"/>
        <v>1</v>
      </c>
      <c r="H15" s="302"/>
      <c r="I15" s="302">
        <f>BQ43</f>
        <v>90091</v>
      </c>
      <c r="AD15" s="12" t="s">
        <v>251</v>
      </c>
      <c r="AQ15" s="13" t="s">
        <v>238</v>
      </c>
      <c r="BB15" s="264" t="s">
        <v>238</v>
      </c>
      <c r="BC15" s="264"/>
      <c r="BD15" s="264"/>
      <c r="BE15" s="264"/>
      <c r="BF15" s="264"/>
      <c r="BG15" s="264"/>
      <c r="BH15" s="264"/>
      <c r="BI15" s="264"/>
      <c r="BJ15" s="264"/>
      <c r="BK15" s="264"/>
      <c r="BL15" s="264"/>
      <c r="BM15" s="264"/>
      <c r="BN15" s="264"/>
      <c r="BO15" s="264"/>
      <c r="BP15" s="265" t="s">
        <v>236</v>
      </c>
      <c r="BQ15" s="265"/>
      <c r="BR15" s="265"/>
      <c r="BS15" s="265"/>
      <c r="BT15" s="265">
        <v>2661000</v>
      </c>
      <c r="BU15" s="265" t="s">
        <v>84</v>
      </c>
      <c r="BV15" s="265"/>
      <c r="BW15" s="265"/>
      <c r="BX15" s="265"/>
      <c r="BY15" s="265"/>
      <c r="BZ15" s="265"/>
      <c r="CA15" s="265"/>
      <c r="CB15" s="265"/>
      <c r="CC15" s="265"/>
      <c r="CD15" s="265"/>
      <c r="CE15" s="266" t="s">
        <v>236</v>
      </c>
      <c r="CF15" s="266"/>
      <c r="CG15" s="266"/>
      <c r="CH15" s="266"/>
      <c r="CI15" s="266">
        <v>2661000</v>
      </c>
      <c r="CJ15" s="266" t="s">
        <v>84</v>
      </c>
      <c r="CK15" s="266"/>
      <c r="CL15" s="266"/>
      <c r="CM15" s="266"/>
      <c r="CN15" s="266"/>
      <c r="CO15" s="266"/>
      <c r="CP15" s="266"/>
      <c r="CQ15" s="266"/>
      <c r="CR15" s="266"/>
      <c r="CS15" s="266"/>
      <c r="CT15" s="267" t="s">
        <v>236</v>
      </c>
      <c r="CU15" s="267"/>
      <c r="CV15" s="267"/>
      <c r="CW15" s="304">
        <v>2661000</v>
      </c>
      <c r="CX15" s="267" t="s">
        <v>84</v>
      </c>
      <c r="CY15" s="267"/>
      <c r="CZ15" s="267"/>
      <c r="DA15" s="267"/>
      <c r="DB15" s="267"/>
      <c r="DC15" s="267"/>
      <c r="DD15" s="267"/>
      <c r="DE15" s="267"/>
      <c r="DF15" s="267"/>
      <c r="DG15" s="267"/>
      <c r="DH15" s="267"/>
      <c r="DI15" s="267"/>
      <c r="DJ15" s="268" t="s">
        <v>238</v>
      </c>
      <c r="DK15" s="268"/>
      <c r="DL15" s="268"/>
      <c r="DM15" s="268"/>
      <c r="DN15" s="268"/>
      <c r="DO15" s="268"/>
      <c r="DP15" s="268"/>
      <c r="DQ15" s="268"/>
      <c r="DR15" s="268"/>
      <c r="DS15" s="268"/>
      <c r="DT15" s="268"/>
      <c r="DU15" s="268"/>
      <c r="DV15" s="268"/>
      <c r="DW15" s="268"/>
    </row>
    <row r="16" spans="1:127">
      <c r="A16" s="266" t="s">
        <v>8</v>
      </c>
      <c r="B16" s="305">
        <f>CS21</f>
        <v>0.5</v>
      </c>
      <c r="C16" s="305">
        <f>CR21</f>
        <v>0.5</v>
      </c>
      <c r="D16" s="305"/>
      <c r="E16" s="306"/>
      <c r="F16" s="306"/>
      <c r="G16" s="307">
        <f t="shared" si="0"/>
        <v>1</v>
      </c>
      <c r="H16" s="306"/>
      <c r="I16" s="306">
        <f>CQ21</f>
        <v>27940.5</v>
      </c>
      <c r="BB16" s="296"/>
      <c r="BC16" s="264"/>
      <c r="BD16" s="264"/>
      <c r="BE16" s="264"/>
      <c r="BF16" s="264"/>
      <c r="BG16" s="264"/>
      <c r="BH16" s="264"/>
      <c r="BI16" s="264"/>
      <c r="BJ16" s="264"/>
      <c r="BK16" s="264"/>
      <c r="BL16" s="264"/>
      <c r="BM16" s="264"/>
      <c r="BN16" s="264"/>
      <c r="BO16" s="264"/>
      <c r="BP16" s="265"/>
      <c r="BQ16" s="265"/>
      <c r="BR16" s="265"/>
      <c r="BS16" s="265"/>
      <c r="BT16" s="265"/>
      <c r="BU16" s="265"/>
      <c r="BV16" s="265"/>
      <c r="BW16" s="265"/>
      <c r="BX16" s="265"/>
      <c r="BY16" s="265"/>
      <c r="BZ16" s="265"/>
      <c r="CA16" s="265"/>
      <c r="CB16" s="265"/>
      <c r="CC16" s="265"/>
      <c r="CD16" s="265"/>
      <c r="CE16" s="266"/>
      <c r="CF16" s="266"/>
      <c r="CG16" s="266"/>
      <c r="CH16" s="266"/>
      <c r="CI16" s="266"/>
      <c r="CJ16" s="266"/>
      <c r="CK16" s="266"/>
      <c r="CL16" s="266"/>
      <c r="CM16" s="266"/>
      <c r="CN16" s="266"/>
      <c r="CO16" s="266"/>
      <c r="CP16" s="266"/>
      <c r="CQ16" s="266"/>
      <c r="CR16" s="266"/>
      <c r="CS16" s="266"/>
      <c r="CT16" s="267"/>
      <c r="CU16" s="267"/>
      <c r="CV16" s="267"/>
      <c r="CW16" s="267"/>
      <c r="CX16" s="267"/>
      <c r="CY16" s="267"/>
      <c r="CZ16" s="267"/>
      <c r="DA16" s="267"/>
      <c r="DB16" s="267"/>
      <c r="DC16" s="267"/>
      <c r="DD16" s="267"/>
      <c r="DE16" s="267"/>
      <c r="DF16" s="267"/>
      <c r="DG16" s="267"/>
      <c r="DH16" s="267"/>
      <c r="DI16" s="267"/>
      <c r="DJ16" s="268"/>
      <c r="DK16" s="268"/>
      <c r="DL16" s="268"/>
      <c r="DM16" s="268"/>
      <c r="DN16" s="268"/>
      <c r="DO16" s="268"/>
      <c r="DP16" s="268"/>
      <c r="DQ16" s="268"/>
      <c r="DR16" s="268"/>
      <c r="DS16" s="268"/>
      <c r="DT16" s="268"/>
      <c r="DU16" s="268"/>
      <c r="DV16" s="268"/>
      <c r="DW16" s="268"/>
    </row>
    <row r="17" spans="1:127" ht="14.25">
      <c r="A17" s="267" t="s">
        <v>71</v>
      </c>
      <c r="B17" s="308">
        <f>DG24</f>
        <v>0.5</v>
      </c>
      <c r="C17" s="308">
        <f>DF24</f>
        <v>0.5</v>
      </c>
      <c r="D17" s="308"/>
      <c r="E17" s="309"/>
      <c r="F17" s="309"/>
      <c r="G17" s="310">
        <f t="shared" si="0"/>
        <v>1</v>
      </c>
      <c r="H17" s="309"/>
      <c r="I17" s="309">
        <f>DE24</f>
        <v>38850.6</v>
      </c>
      <c r="BB17" s="311"/>
      <c r="BC17" s="264"/>
      <c r="BD17" s="264"/>
      <c r="BE17" s="264"/>
      <c r="BF17" s="264"/>
      <c r="BG17" s="264"/>
      <c r="BH17" s="264"/>
      <c r="BI17" s="264"/>
      <c r="BJ17" s="264"/>
      <c r="BK17" s="264"/>
      <c r="BL17" s="264"/>
      <c r="BM17" s="264"/>
      <c r="BN17" s="264"/>
      <c r="BO17" s="264"/>
      <c r="BP17" s="265"/>
      <c r="BQ17" s="265"/>
      <c r="BR17" s="265"/>
      <c r="BS17" s="265"/>
      <c r="BT17" s="265"/>
      <c r="BU17" s="265"/>
      <c r="BV17" s="265"/>
      <c r="BW17" s="265"/>
      <c r="BX17" s="265"/>
      <c r="BY17" s="265"/>
      <c r="BZ17" s="265"/>
      <c r="CA17" s="265"/>
      <c r="CB17" s="265"/>
      <c r="CC17" s="265"/>
      <c r="CD17" s="265"/>
      <c r="CE17" s="266"/>
      <c r="CF17" s="266"/>
      <c r="CG17" s="266"/>
      <c r="CH17" s="266"/>
      <c r="CI17" s="266"/>
      <c r="CJ17" s="266"/>
      <c r="CK17" s="266"/>
      <c r="CL17" s="266"/>
      <c r="CM17" s="266"/>
      <c r="CN17" s="266"/>
      <c r="CO17" s="266"/>
      <c r="CP17" s="266"/>
      <c r="CQ17" s="266"/>
      <c r="CR17" s="266"/>
      <c r="CS17" s="266"/>
      <c r="CT17" s="267"/>
      <c r="CU17" s="267"/>
      <c r="CV17" s="267"/>
      <c r="CW17" s="267"/>
      <c r="CX17" s="267"/>
      <c r="CY17" s="267"/>
      <c r="CZ17" s="267"/>
      <c r="DA17" s="267"/>
      <c r="DB17" s="267"/>
      <c r="DC17" s="267"/>
      <c r="DD17" s="267"/>
      <c r="DE17" s="267"/>
      <c r="DF17" s="267"/>
      <c r="DG17" s="267"/>
      <c r="DH17" s="267"/>
      <c r="DI17" s="267"/>
      <c r="DJ17" s="268"/>
      <c r="DK17" s="268"/>
      <c r="DL17" s="268"/>
      <c r="DM17" s="268"/>
      <c r="DN17" s="268"/>
      <c r="DO17" s="268"/>
      <c r="DP17" s="268"/>
      <c r="DQ17" s="268"/>
      <c r="DR17" s="268"/>
      <c r="DS17" s="268"/>
      <c r="DT17" s="268"/>
      <c r="DU17" s="268"/>
      <c r="DV17" s="268"/>
      <c r="DW17" s="268"/>
    </row>
    <row r="18" spans="1:127" ht="12.75">
      <c r="G18" s="312"/>
      <c r="BB18" s="264"/>
      <c r="BC18" s="264"/>
      <c r="BD18" s="264"/>
      <c r="BE18" s="264"/>
      <c r="BF18" s="264"/>
      <c r="BG18" s="264"/>
      <c r="BH18" s="264"/>
      <c r="BI18" s="264"/>
      <c r="BJ18" s="264"/>
      <c r="BK18" s="264"/>
      <c r="BL18" s="264"/>
      <c r="BM18" s="264"/>
      <c r="BN18" s="264"/>
      <c r="BO18" s="264"/>
      <c r="BP18" s="297" t="s">
        <v>121</v>
      </c>
      <c r="BQ18" s="265"/>
      <c r="BR18" s="265"/>
      <c r="BS18" s="265"/>
      <c r="BT18" s="265"/>
      <c r="BU18" s="265"/>
      <c r="BV18" s="265"/>
      <c r="BW18" s="265"/>
      <c r="BX18" s="265"/>
      <c r="BY18" s="265"/>
      <c r="BZ18" s="265"/>
      <c r="CA18" s="265"/>
      <c r="CB18" s="265"/>
      <c r="CC18" s="265"/>
      <c r="CD18" s="265"/>
      <c r="CE18" s="313" t="s">
        <v>121</v>
      </c>
      <c r="CF18" s="266"/>
      <c r="CG18" s="266"/>
      <c r="CH18" s="266"/>
      <c r="CI18" s="266"/>
      <c r="CJ18" s="266"/>
      <c r="CK18" s="266"/>
      <c r="CL18" s="266"/>
      <c r="CM18" s="266"/>
      <c r="CN18" s="266"/>
      <c r="CO18" s="266"/>
      <c r="CP18" s="266"/>
      <c r="CQ18" s="266"/>
      <c r="CR18" s="266"/>
      <c r="CS18" s="266"/>
      <c r="CT18" s="314" t="s">
        <v>121</v>
      </c>
      <c r="CU18" s="267"/>
      <c r="CV18" s="267"/>
      <c r="CW18" s="267"/>
      <c r="CX18" s="267"/>
      <c r="CY18" s="267"/>
      <c r="CZ18" s="267"/>
      <c r="DA18" s="267"/>
      <c r="DB18" s="267"/>
      <c r="DC18" s="267"/>
      <c r="DD18" s="267"/>
      <c r="DE18" s="267"/>
      <c r="DF18" s="267"/>
      <c r="DG18" s="267"/>
      <c r="DH18" s="267"/>
      <c r="DI18" s="267"/>
      <c r="DJ18" s="268"/>
      <c r="DK18" s="268"/>
      <c r="DL18" s="268"/>
      <c r="DM18" s="268"/>
      <c r="DN18" s="268"/>
      <c r="DO18" s="268"/>
      <c r="DP18" s="268"/>
      <c r="DQ18" s="268"/>
      <c r="DR18" s="268"/>
      <c r="DS18" s="268"/>
      <c r="DT18" s="315"/>
      <c r="DU18" s="315"/>
      <c r="DV18" s="315"/>
      <c r="DW18" s="268"/>
    </row>
    <row r="19" spans="1:127" ht="45.75">
      <c r="A19" s="269" t="s">
        <v>0</v>
      </c>
      <c r="B19" s="270" t="s">
        <v>76</v>
      </c>
      <c r="C19" s="270" t="s">
        <v>77</v>
      </c>
      <c r="D19" s="270"/>
      <c r="E19" s="316"/>
      <c r="F19" s="316"/>
      <c r="G19" s="270" t="s">
        <v>13</v>
      </c>
      <c r="H19" s="316"/>
      <c r="I19" s="316" t="s">
        <v>94</v>
      </c>
      <c r="J19" s="317" t="s">
        <v>118</v>
      </c>
      <c r="BB19" s="264"/>
      <c r="BC19" s="264"/>
      <c r="BD19" s="264"/>
      <c r="BE19" s="264"/>
      <c r="BF19" s="264"/>
      <c r="BG19" s="264"/>
      <c r="BH19" s="264"/>
      <c r="BI19" s="264"/>
      <c r="BJ19" s="264"/>
      <c r="BK19" s="264"/>
      <c r="BL19" s="264"/>
      <c r="BM19" s="264"/>
      <c r="BN19" s="264"/>
      <c r="BO19" s="264"/>
      <c r="BP19" s="265" t="s">
        <v>235</v>
      </c>
      <c r="BQ19" s="265"/>
      <c r="BR19" s="265"/>
      <c r="BS19" s="265"/>
      <c r="BT19" s="265"/>
      <c r="BU19" s="265"/>
      <c r="BV19" s="265"/>
      <c r="BW19" s="265"/>
      <c r="BX19" s="265"/>
      <c r="BY19" s="265"/>
      <c r="BZ19" s="265"/>
      <c r="CA19" s="265"/>
      <c r="CB19" s="265"/>
      <c r="CC19" s="265"/>
      <c r="CD19" s="265"/>
      <c r="CE19" s="266" t="s">
        <v>235</v>
      </c>
      <c r="CF19" s="266"/>
      <c r="CG19" s="266"/>
      <c r="CH19" s="266"/>
      <c r="CI19" s="266"/>
      <c r="CJ19" s="266"/>
      <c r="CK19" s="266"/>
      <c r="CL19" s="266"/>
      <c r="CM19" s="266"/>
      <c r="CN19" s="266"/>
      <c r="CO19" s="266"/>
      <c r="CP19" s="266"/>
      <c r="CQ19" s="266"/>
      <c r="CR19" s="266"/>
      <c r="CS19" s="266"/>
      <c r="CT19" s="267" t="s">
        <v>235</v>
      </c>
      <c r="CU19" s="267"/>
      <c r="CV19" s="267"/>
      <c r="CW19" s="267"/>
      <c r="CX19" s="267"/>
      <c r="CY19" s="267"/>
      <c r="CZ19" s="267"/>
      <c r="DA19" s="267"/>
      <c r="DB19" s="267"/>
      <c r="DC19" s="267"/>
      <c r="DD19" s="267"/>
      <c r="DE19" s="267"/>
      <c r="DF19" s="267"/>
      <c r="DG19" s="267"/>
      <c r="DH19" s="267"/>
      <c r="DI19" s="267"/>
      <c r="DJ19" s="268"/>
      <c r="DK19" s="268"/>
      <c r="DL19" s="268"/>
      <c r="DM19" s="268"/>
      <c r="DN19" s="268"/>
      <c r="DO19" s="268"/>
      <c r="DP19" s="268"/>
      <c r="DQ19" s="268"/>
      <c r="DR19" s="268"/>
      <c r="DS19" s="268"/>
      <c r="DT19" s="315"/>
      <c r="DU19" s="315"/>
      <c r="DV19" s="315"/>
      <c r="DW19" s="300"/>
    </row>
    <row r="20" spans="1:127" ht="23.25">
      <c r="A20" s="12" t="s">
        <v>7</v>
      </c>
      <c r="B20" s="318">
        <v>0.16</v>
      </c>
      <c r="C20" s="318">
        <f>1-B20</f>
        <v>0.84</v>
      </c>
      <c r="D20" s="319"/>
      <c r="E20" s="319"/>
      <c r="F20" s="319"/>
      <c r="G20" s="320">
        <f>SUM(B20:E20)</f>
        <v>1</v>
      </c>
      <c r="H20" s="319"/>
      <c r="I20" s="321">
        <v>46800</v>
      </c>
      <c r="J20" s="272"/>
      <c r="BB20" s="264"/>
      <c r="BC20" s="264"/>
      <c r="BD20" s="264"/>
      <c r="BE20" s="264"/>
      <c r="BF20" s="264"/>
      <c r="BG20" s="264"/>
      <c r="BH20" s="264"/>
      <c r="BI20" s="264"/>
      <c r="BJ20" s="264"/>
      <c r="BK20" s="264"/>
      <c r="BL20" s="264"/>
      <c r="BM20" s="264"/>
      <c r="BN20" s="264"/>
      <c r="BO20" s="264"/>
      <c r="BP20" s="265"/>
      <c r="BQ20" s="265"/>
      <c r="BR20" s="265"/>
      <c r="BS20" s="265"/>
      <c r="BT20" s="265"/>
      <c r="BU20" s="265"/>
      <c r="BV20" s="265"/>
      <c r="BW20" s="265"/>
      <c r="BX20" s="265"/>
      <c r="BY20" s="265"/>
      <c r="BZ20" s="265"/>
      <c r="CA20" s="265"/>
      <c r="CB20" s="265"/>
      <c r="CC20" s="265"/>
      <c r="CD20" s="265"/>
      <c r="CE20" s="266"/>
      <c r="CF20" s="266"/>
      <c r="CG20" s="266"/>
      <c r="CH20" s="266"/>
      <c r="CI20" s="266"/>
      <c r="CJ20" s="266"/>
      <c r="CK20" s="266"/>
      <c r="CL20" s="266"/>
      <c r="CM20" s="266"/>
      <c r="CN20" s="266"/>
      <c r="CO20" s="266"/>
      <c r="CP20" s="266"/>
      <c r="CQ20" s="322" t="s">
        <v>122</v>
      </c>
      <c r="CR20" s="266" t="s">
        <v>73</v>
      </c>
      <c r="CS20" s="266" t="s">
        <v>16</v>
      </c>
      <c r="CT20" s="267"/>
      <c r="CU20" s="267"/>
      <c r="CV20" s="267"/>
      <c r="CW20" s="267"/>
      <c r="CX20" s="267"/>
      <c r="CY20" s="267"/>
      <c r="CZ20" s="267"/>
      <c r="DA20" s="267"/>
      <c r="DB20" s="267"/>
      <c r="DC20" s="267"/>
      <c r="DD20" s="267"/>
      <c r="DE20" s="323" t="s">
        <v>122</v>
      </c>
      <c r="DF20" s="267" t="s">
        <v>73</v>
      </c>
      <c r="DG20" s="267" t="s">
        <v>16</v>
      </c>
      <c r="DH20" s="267"/>
      <c r="DI20" s="267"/>
      <c r="DJ20" s="268"/>
      <c r="DK20" s="268"/>
      <c r="DL20" s="268"/>
      <c r="DM20" s="268"/>
      <c r="DN20" s="268"/>
      <c r="DO20" s="268"/>
      <c r="DP20" s="268"/>
      <c r="DQ20" s="268"/>
      <c r="DR20" s="268"/>
      <c r="DS20" s="268"/>
      <c r="DT20" s="315"/>
      <c r="DU20" s="315"/>
      <c r="DV20" s="315"/>
      <c r="DW20" s="268"/>
    </row>
    <row r="21" spans="1:127" ht="34.5">
      <c r="A21" s="11" t="s">
        <v>63</v>
      </c>
      <c r="B21" s="324">
        <v>0.12</v>
      </c>
      <c r="C21" s="324">
        <f>1-B21</f>
        <v>0.88</v>
      </c>
      <c r="D21" s="325"/>
      <c r="E21" s="325"/>
      <c r="F21" s="325"/>
      <c r="G21" s="326">
        <f>SUM(B21:E21)</f>
        <v>1</v>
      </c>
      <c r="H21" s="279"/>
      <c r="I21" s="327">
        <v>91759</v>
      </c>
      <c r="J21" s="272"/>
      <c r="BB21" s="264"/>
      <c r="BC21" s="264"/>
      <c r="BD21" s="264"/>
      <c r="BE21" s="264"/>
      <c r="BF21" s="264"/>
      <c r="BG21" s="264"/>
      <c r="BH21" s="264"/>
      <c r="BI21" s="264"/>
      <c r="BJ21" s="264"/>
      <c r="BK21" s="264"/>
      <c r="BL21" s="264"/>
      <c r="BM21" s="264"/>
      <c r="BN21" s="264"/>
      <c r="BO21" s="264"/>
      <c r="BP21" s="265"/>
      <c r="BQ21" s="265"/>
      <c r="BR21" s="265"/>
      <c r="BS21" s="265"/>
      <c r="BT21" s="265"/>
      <c r="BU21" s="265"/>
      <c r="BV21" s="265"/>
      <c r="BW21" s="265"/>
      <c r="BX21" s="265"/>
      <c r="BY21" s="265"/>
      <c r="BZ21" s="265"/>
      <c r="CA21" s="265"/>
      <c r="CB21" s="265" t="s">
        <v>122</v>
      </c>
      <c r="CC21" s="265" t="s">
        <v>73</v>
      </c>
      <c r="CD21" s="265" t="s">
        <v>16</v>
      </c>
      <c r="CE21" s="266"/>
      <c r="CF21" s="266"/>
      <c r="CG21" s="266"/>
      <c r="CH21" s="266"/>
      <c r="CI21" s="266"/>
      <c r="CJ21" s="266"/>
      <c r="CK21" s="266"/>
      <c r="CL21" s="266"/>
      <c r="CM21" s="266"/>
      <c r="CN21" s="266"/>
      <c r="CO21" s="322" t="s">
        <v>125</v>
      </c>
      <c r="CP21" s="328">
        <f>2.1%/2</f>
        <v>1.0500000000000001E-2</v>
      </c>
      <c r="CQ21" s="266">
        <f>CP21*CP23</f>
        <v>27940.5</v>
      </c>
      <c r="CR21" s="329">
        <v>0.5</v>
      </c>
      <c r="CS21" s="329">
        <v>0.5</v>
      </c>
      <c r="CT21" s="267"/>
      <c r="CU21" s="267"/>
      <c r="CV21" s="267"/>
      <c r="CW21" s="267"/>
      <c r="CX21" s="267"/>
      <c r="CY21" s="267"/>
      <c r="CZ21" s="267"/>
      <c r="DA21" s="267"/>
      <c r="DB21" s="267"/>
      <c r="DC21" s="323" t="s">
        <v>126</v>
      </c>
      <c r="DD21" s="330">
        <v>4.1000000000000003E-3</v>
      </c>
      <c r="DE21" s="267">
        <f>DD21*DD26</f>
        <v>10910.1</v>
      </c>
      <c r="DF21" s="331">
        <v>0.5</v>
      </c>
      <c r="DG21" s="331">
        <v>0.5</v>
      </c>
      <c r="DH21" s="267"/>
      <c r="DI21" s="267"/>
      <c r="DJ21" s="268"/>
      <c r="DK21" s="268"/>
      <c r="DL21" s="268"/>
      <c r="DM21" s="268"/>
      <c r="DN21" s="268"/>
      <c r="DO21" s="268"/>
      <c r="DP21" s="268"/>
      <c r="DQ21" s="268"/>
      <c r="DR21" s="20" t="s">
        <v>3</v>
      </c>
      <c r="DS21" s="21" t="s">
        <v>4</v>
      </c>
      <c r="DT21" s="20" t="s">
        <v>73</v>
      </c>
      <c r="DU21" s="20" t="s">
        <v>16</v>
      </c>
      <c r="DV21" s="22"/>
      <c r="DW21" s="268"/>
    </row>
    <row r="22" spans="1:127" ht="45.75">
      <c r="A22" s="13" t="s">
        <v>9</v>
      </c>
      <c r="B22" s="332">
        <v>0.21</v>
      </c>
      <c r="C22" s="332">
        <f>1-B22</f>
        <v>0.79</v>
      </c>
      <c r="D22" s="333"/>
      <c r="E22" s="333"/>
      <c r="F22" s="333"/>
      <c r="G22" s="334">
        <f>SUM(B22:E22)</f>
        <v>1</v>
      </c>
      <c r="H22" s="284"/>
      <c r="I22" s="335">
        <v>30</v>
      </c>
      <c r="J22" s="272"/>
      <c r="BB22" s="264"/>
      <c r="BC22" s="264"/>
      <c r="BD22" s="264"/>
      <c r="BE22" s="264"/>
      <c r="BF22" s="264"/>
      <c r="BG22" s="264"/>
      <c r="BH22" s="264"/>
      <c r="BI22" s="16" t="s">
        <v>3</v>
      </c>
      <c r="BJ22" s="17" t="s">
        <v>4</v>
      </c>
      <c r="BK22" s="16" t="s">
        <v>73</v>
      </c>
      <c r="BL22" s="16" t="s">
        <v>16</v>
      </c>
      <c r="BM22" s="14" t="s">
        <v>83</v>
      </c>
      <c r="BN22" s="264"/>
      <c r="BO22" s="264"/>
      <c r="BP22" s="265"/>
      <c r="BQ22" s="265"/>
      <c r="BR22" s="265"/>
      <c r="BS22" s="265"/>
      <c r="BT22" s="265"/>
      <c r="BU22" s="265"/>
      <c r="BV22" s="265"/>
      <c r="BW22" s="265"/>
      <c r="BX22" s="265"/>
      <c r="BY22" s="265"/>
      <c r="BZ22" s="265" t="s">
        <v>123</v>
      </c>
      <c r="CA22" s="336">
        <v>3.1E-2</v>
      </c>
      <c r="CB22" s="265">
        <f>CA22*$CA$24</f>
        <v>82491</v>
      </c>
      <c r="CC22" s="337">
        <v>0.05</v>
      </c>
      <c r="CD22" s="337">
        <v>0.95</v>
      </c>
      <c r="CE22" s="266"/>
      <c r="CF22" s="266"/>
      <c r="CG22" s="266"/>
      <c r="CH22" s="266"/>
      <c r="CI22" s="266"/>
      <c r="CJ22" s="266"/>
      <c r="CK22" s="266"/>
      <c r="CL22" s="266"/>
      <c r="CM22" s="266"/>
      <c r="CN22" s="266"/>
      <c r="CO22" s="266"/>
      <c r="CP22" s="266"/>
      <c r="CQ22" s="266"/>
      <c r="CR22" s="266"/>
      <c r="CS22" s="266"/>
      <c r="CT22" s="267"/>
      <c r="CU22" s="267"/>
      <c r="CV22" s="267"/>
      <c r="CW22" s="267"/>
      <c r="CX22" s="267"/>
      <c r="CY22" s="267"/>
      <c r="CZ22" s="267"/>
      <c r="DA22" s="267"/>
      <c r="DB22" s="267"/>
      <c r="DC22" s="323" t="s">
        <v>125</v>
      </c>
      <c r="DD22" s="338">
        <f>2.1%/2</f>
        <v>1.0500000000000001E-2</v>
      </c>
      <c r="DE22" s="267">
        <f>DD22*DD26</f>
        <v>27940.5</v>
      </c>
      <c r="DF22" s="331">
        <v>0.5</v>
      </c>
      <c r="DG22" s="331">
        <v>0.5</v>
      </c>
      <c r="DH22" s="267"/>
      <c r="DI22" s="267"/>
      <c r="DJ22" s="268"/>
      <c r="DK22" s="268"/>
      <c r="DL22" s="268"/>
      <c r="DM22" s="268"/>
      <c r="DN22" s="268"/>
      <c r="DO22" s="268"/>
      <c r="DP22" s="268"/>
      <c r="DQ22" s="22"/>
      <c r="DR22" s="22"/>
      <c r="DS22" s="22"/>
      <c r="DT22" s="23"/>
      <c r="DU22" s="23"/>
      <c r="DV22" s="315"/>
      <c r="DW22" s="268"/>
    </row>
    <row r="23" spans="1:127" ht="12.75">
      <c r="A23" s="264" t="s">
        <v>208</v>
      </c>
      <c r="B23" s="339">
        <v>0.26</v>
      </c>
      <c r="C23" s="339">
        <f>1-B23</f>
        <v>0.74</v>
      </c>
      <c r="D23" s="340"/>
      <c r="E23" s="340"/>
      <c r="F23" s="340"/>
      <c r="G23" s="341">
        <f>SUM(B23:E23)</f>
        <v>1</v>
      </c>
      <c r="H23" s="288"/>
      <c r="I23" s="342">
        <v>46600</v>
      </c>
      <c r="J23" s="272"/>
      <c r="BB23" s="264"/>
      <c r="BC23" s="264"/>
      <c r="BD23" s="264"/>
      <c r="BE23" s="264"/>
      <c r="BF23" s="264"/>
      <c r="BG23" s="264"/>
      <c r="BH23" s="18"/>
      <c r="BI23" s="18"/>
      <c r="BJ23" s="18"/>
      <c r="BK23" s="19"/>
      <c r="BL23" s="19"/>
      <c r="BM23" s="19"/>
      <c r="BN23" s="264"/>
      <c r="BO23" s="264"/>
      <c r="BP23" s="265"/>
      <c r="BQ23" s="265"/>
      <c r="BR23" s="265"/>
      <c r="BS23" s="265"/>
      <c r="BT23" s="265"/>
      <c r="BU23" s="265"/>
      <c r="BV23" s="265"/>
      <c r="BW23" s="265"/>
      <c r="BX23" s="265"/>
      <c r="BY23" s="265"/>
      <c r="BZ23" s="30"/>
      <c r="CA23" s="31"/>
      <c r="CB23" s="30"/>
      <c r="CC23" s="32"/>
      <c r="CD23" s="32"/>
      <c r="CE23" s="266"/>
      <c r="CF23" s="266"/>
      <c r="CG23" s="266"/>
      <c r="CH23" s="266"/>
      <c r="CI23" s="266"/>
      <c r="CJ23" s="266"/>
      <c r="CK23" s="266"/>
      <c r="CL23" s="266"/>
      <c r="CM23" s="266"/>
      <c r="CN23" s="266"/>
      <c r="CO23" s="29" t="s">
        <v>124</v>
      </c>
      <c r="CP23" s="343">
        <v>2661000</v>
      </c>
      <c r="CQ23" s="266"/>
      <c r="CR23" s="266"/>
      <c r="CS23" s="266"/>
      <c r="CT23" s="267"/>
      <c r="CU23" s="267"/>
      <c r="CV23" s="267"/>
      <c r="CW23" s="267"/>
      <c r="CX23" s="267"/>
      <c r="CY23" s="267"/>
      <c r="CZ23" s="267"/>
      <c r="DA23" s="267"/>
      <c r="DB23" s="267"/>
      <c r="DC23" s="267"/>
      <c r="DD23" s="267"/>
      <c r="DE23" s="267"/>
      <c r="DF23" s="267"/>
      <c r="DG23" s="267"/>
      <c r="DH23" s="267"/>
      <c r="DI23" s="267"/>
      <c r="DJ23" s="268"/>
      <c r="DK23" s="268"/>
      <c r="DL23" s="268"/>
      <c r="DM23" s="268"/>
      <c r="DN23" s="268"/>
      <c r="DO23" s="268"/>
      <c r="DP23" s="268"/>
      <c r="DQ23" s="268" t="s">
        <v>87</v>
      </c>
      <c r="DR23" s="268">
        <f>70000*0.05</f>
        <v>3500</v>
      </c>
      <c r="DS23" s="268" t="s">
        <v>84</v>
      </c>
      <c r="DT23" s="315">
        <v>0.2</v>
      </c>
      <c r="DU23" s="315">
        <v>0.8</v>
      </c>
      <c r="DV23" s="268"/>
      <c r="DW23" s="268"/>
    </row>
    <row r="24" spans="1:127">
      <c r="A24" s="268" t="s">
        <v>10</v>
      </c>
      <c r="B24" s="344">
        <v>0.26</v>
      </c>
      <c r="C24" s="344">
        <f>1-B24</f>
        <v>0.74</v>
      </c>
      <c r="D24" s="345"/>
      <c r="E24" s="345"/>
      <c r="F24" s="345"/>
      <c r="G24" s="346">
        <f>SUM(B24:E24)</f>
        <v>1</v>
      </c>
      <c r="H24" s="345"/>
      <c r="I24" s="347">
        <f>J24*100%/B24</f>
        <v>4807.6923076923076</v>
      </c>
      <c r="J24" s="348">
        <v>1250</v>
      </c>
      <c r="BB24" s="264"/>
      <c r="BC24" s="264"/>
      <c r="BD24" s="264"/>
      <c r="BE24" s="264"/>
      <c r="BF24" s="264"/>
      <c r="BG24" s="264"/>
      <c r="BH24" s="39" t="s">
        <v>85</v>
      </c>
      <c r="BI24" s="39">
        <v>10000</v>
      </c>
      <c r="BJ24" s="39" t="s">
        <v>84</v>
      </c>
      <c r="BK24" s="40">
        <v>0.2</v>
      </c>
      <c r="BL24" s="40">
        <v>0.8</v>
      </c>
      <c r="BM24" s="40">
        <v>0</v>
      </c>
      <c r="BN24" s="264"/>
      <c r="BO24" s="264"/>
      <c r="BP24" s="265"/>
      <c r="BQ24" s="265"/>
      <c r="BR24" s="265"/>
      <c r="BS24" s="265"/>
      <c r="BT24" s="265"/>
      <c r="BU24" s="265"/>
      <c r="BV24" s="265"/>
      <c r="BW24" s="265"/>
      <c r="BX24" s="265"/>
      <c r="BY24" s="265"/>
      <c r="BZ24" s="15" t="s">
        <v>244</v>
      </c>
      <c r="CA24" s="349">
        <v>2661000</v>
      </c>
      <c r="CB24" s="265"/>
      <c r="CC24" s="265"/>
      <c r="CD24" s="265"/>
      <c r="CE24" s="266"/>
      <c r="CF24" s="266"/>
      <c r="CG24" s="266"/>
      <c r="CH24" s="266"/>
      <c r="CI24" s="266"/>
      <c r="CJ24" s="266"/>
      <c r="CK24" s="266"/>
      <c r="CL24" s="266"/>
      <c r="CM24" s="266"/>
      <c r="CN24" s="266"/>
      <c r="CO24" s="266"/>
      <c r="CP24" s="266"/>
      <c r="CQ24" s="266"/>
      <c r="CR24" s="266"/>
      <c r="CS24" s="266"/>
      <c r="CT24" s="267"/>
      <c r="CU24" s="267"/>
      <c r="CV24" s="267"/>
      <c r="CW24" s="267"/>
      <c r="CX24" s="267"/>
      <c r="CY24" s="267"/>
      <c r="CZ24" s="267"/>
      <c r="DA24" s="267"/>
      <c r="DB24" s="267"/>
      <c r="DC24" s="267"/>
      <c r="DD24" s="267"/>
      <c r="DE24" s="267">
        <f>SUM(DE21,DE22)</f>
        <v>38850.6</v>
      </c>
      <c r="DF24" s="350">
        <f>AVERAGE(DF21:DF22)</f>
        <v>0.5</v>
      </c>
      <c r="DG24" s="350">
        <f>AVERAGE(DG21:DG22)</f>
        <v>0.5</v>
      </c>
      <c r="DH24" s="267"/>
      <c r="DI24" s="267"/>
      <c r="DJ24" s="268"/>
      <c r="DK24" s="268"/>
      <c r="DL24" s="268"/>
      <c r="DM24" s="268"/>
      <c r="DN24" s="268"/>
      <c r="DO24" s="268"/>
      <c r="DP24" s="268"/>
      <c r="DQ24" s="119"/>
      <c r="DR24" s="22"/>
      <c r="DS24" s="22"/>
      <c r="DT24" s="23"/>
      <c r="DU24" s="23"/>
      <c r="DV24" s="268"/>
      <c r="DW24" s="268"/>
    </row>
    <row r="25" spans="1:127">
      <c r="A25" s="265" t="s">
        <v>70</v>
      </c>
      <c r="B25" s="351">
        <v>0.26</v>
      </c>
      <c r="C25" s="351">
        <f t="shared" ref="C25:C27" si="1">1-B25</f>
        <v>0.74</v>
      </c>
      <c r="D25" s="302"/>
      <c r="E25" s="302"/>
      <c r="F25" s="302"/>
      <c r="G25" s="352">
        <f t="shared" ref="G25:G27" si="2">SUM(B25:E25)</f>
        <v>1</v>
      </c>
      <c r="H25" s="302"/>
      <c r="I25" s="353">
        <f t="shared" ref="I25:I27" si="3">J25*100%/B25</f>
        <v>57692.307692307688</v>
      </c>
      <c r="J25" s="348">
        <v>15000</v>
      </c>
      <c r="BB25" s="264"/>
      <c r="BC25" s="264"/>
      <c r="BD25" s="264"/>
      <c r="BE25" s="264"/>
      <c r="BF25" s="264"/>
      <c r="BG25" s="264"/>
      <c r="BH25" s="39" t="s">
        <v>86</v>
      </c>
      <c r="BI25" s="39">
        <v>12000</v>
      </c>
      <c r="BJ25" s="39" t="s">
        <v>84</v>
      </c>
      <c r="BK25" s="40">
        <v>0.9</v>
      </c>
      <c r="BL25" s="40">
        <v>0.1</v>
      </c>
      <c r="BM25" s="40">
        <v>0</v>
      </c>
      <c r="BN25" s="264"/>
      <c r="BO25" s="264"/>
      <c r="BP25" s="265"/>
      <c r="BQ25" s="265"/>
      <c r="BR25" s="265"/>
      <c r="BS25" s="265"/>
      <c r="BT25" s="265"/>
      <c r="BU25" s="265"/>
      <c r="BV25" s="265"/>
      <c r="BW25" s="265"/>
      <c r="BX25" s="265"/>
      <c r="BY25" s="265"/>
      <c r="BZ25" s="265"/>
      <c r="CA25" s="265"/>
      <c r="CB25" s="265"/>
      <c r="CC25" s="265"/>
      <c r="CD25" s="265"/>
      <c r="CE25" s="266"/>
      <c r="CF25" s="266"/>
      <c r="CG25" s="266"/>
      <c r="CH25" s="266"/>
      <c r="CI25" s="266"/>
      <c r="CJ25" s="266"/>
      <c r="CK25" s="266"/>
      <c r="CL25" s="266"/>
      <c r="CM25" s="266"/>
      <c r="CN25" s="266"/>
      <c r="CO25" s="266"/>
      <c r="CP25" s="266"/>
      <c r="CQ25" s="266"/>
      <c r="CR25" s="266"/>
      <c r="CS25" s="266"/>
      <c r="CT25" s="267"/>
      <c r="CU25" s="267"/>
      <c r="CV25" s="267"/>
      <c r="CW25" s="267"/>
      <c r="CX25" s="267"/>
      <c r="CY25" s="267"/>
      <c r="CZ25" s="267"/>
      <c r="DA25" s="267"/>
      <c r="DB25" s="267"/>
      <c r="DC25" s="267"/>
      <c r="DD25" s="267"/>
      <c r="DE25" s="267"/>
      <c r="DF25" s="267"/>
      <c r="DG25" s="267"/>
      <c r="DH25" s="267"/>
      <c r="DI25" s="267"/>
      <c r="DJ25" s="268"/>
      <c r="DK25" s="268"/>
      <c r="DL25" s="268"/>
      <c r="DM25" s="268"/>
      <c r="DN25" s="268"/>
      <c r="DO25" s="268"/>
      <c r="DP25" s="268"/>
      <c r="DQ25" s="268"/>
      <c r="DR25" s="268"/>
      <c r="DS25" s="268"/>
      <c r="DT25" s="268"/>
      <c r="DU25" s="268"/>
      <c r="DV25" s="268"/>
      <c r="DW25" s="268"/>
    </row>
    <row r="26" spans="1:127" ht="57">
      <c r="A26" s="266" t="s">
        <v>8</v>
      </c>
      <c r="B26" s="354">
        <v>0.26</v>
      </c>
      <c r="C26" s="354">
        <f t="shared" si="1"/>
        <v>0.74</v>
      </c>
      <c r="D26" s="355"/>
      <c r="E26" s="355"/>
      <c r="F26" s="355"/>
      <c r="G26" s="356">
        <f t="shared" si="2"/>
        <v>1</v>
      </c>
      <c r="H26" s="306"/>
      <c r="I26" s="357">
        <f t="shared" si="3"/>
        <v>19230.76923076923</v>
      </c>
      <c r="J26" s="348">
        <v>5000</v>
      </c>
      <c r="BB26" s="264"/>
      <c r="BC26" s="264"/>
      <c r="BD26" s="264"/>
      <c r="BE26" s="264"/>
      <c r="BF26" s="264"/>
      <c r="BG26" s="264"/>
      <c r="BH26" s="264" t="s">
        <v>88</v>
      </c>
      <c r="BI26" s="264">
        <v>13000</v>
      </c>
      <c r="BJ26" s="264" t="s">
        <v>84</v>
      </c>
      <c r="BK26" s="358">
        <v>0.2</v>
      </c>
      <c r="BL26" s="358">
        <v>0.8</v>
      </c>
      <c r="BM26" s="358">
        <v>0</v>
      </c>
      <c r="BN26" s="264"/>
      <c r="BO26" s="264"/>
      <c r="BP26" s="265"/>
      <c r="BQ26" s="265"/>
      <c r="BR26" s="265"/>
      <c r="BS26" s="265"/>
      <c r="BT26" s="265"/>
      <c r="BU26" s="265"/>
      <c r="BV26" s="265"/>
      <c r="BW26" s="265"/>
      <c r="BX26" s="265"/>
      <c r="BY26" s="265"/>
      <c r="BZ26" s="265"/>
      <c r="CA26" s="265"/>
      <c r="CB26" s="265"/>
      <c r="CC26" s="265"/>
      <c r="CD26" s="265"/>
      <c r="CE26" s="266"/>
      <c r="CF26" s="266"/>
      <c r="CG26" s="266"/>
      <c r="CH26" s="266"/>
      <c r="CI26" s="266"/>
      <c r="CJ26" s="266"/>
      <c r="CK26" s="266"/>
      <c r="CL26" s="266"/>
      <c r="CM26" s="266"/>
      <c r="CN26" s="266"/>
      <c r="CO26" s="266"/>
      <c r="CP26" s="266"/>
      <c r="CQ26" s="266"/>
      <c r="CR26" s="266"/>
      <c r="CS26" s="266"/>
      <c r="CT26" s="267"/>
      <c r="CU26" s="267"/>
      <c r="CV26" s="267"/>
      <c r="CW26" s="267"/>
      <c r="CX26" s="267"/>
      <c r="CY26" s="267"/>
      <c r="CZ26" s="267"/>
      <c r="DA26" s="267"/>
      <c r="DB26" s="267"/>
      <c r="DC26" s="120" t="s">
        <v>237</v>
      </c>
      <c r="DD26" s="304">
        <v>2661000</v>
      </c>
      <c r="DE26" s="267"/>
      <c r="DF26" s="267"/>
      <c r="DG26" s="267"/>
      <c r="DH26" s="267"/>
      <c r="DI26" s="267"/>
      <c r="DJ26" s="268"/>
      <c r="DK26" s="268"/>
      <c r="DL26" s="268"/>
      <c r="DM26" s="268"/>
      <c r="DN26" s="268"/>
      <c r="DO26" s="268"/>
      <c r="DP26" s="268"/>
      <c r="DQ26" s="268"/>
      <c r="DR26" s="268"/>
      <c r="DS26" s="268"/>
      <c r="DT26" s="268"/>
      <c r="DU26" s="268"/>
      <c r="DV26" s="268"/>
      <c r="DW26" s="268"/>
    </row>
    <row r="27" spans="1:127" ht="12.75">
      <c r="A27" s="267" t="s">
        <v>71</v>
      </c>
      <c r="B27" s="359">
        <v>0.26</v>
      </c>
      <c r="C27" s="359">
        <f t="shared" si="1"/>
        <v>0.74</v>
      </c>
      <c r="D27" s="309"/>
      <c r="E27" s="309"/>
      <c r="F27" s="309"/>
      <c r="G27" s="360">
        <f t="shared" si="2"/>
        <v>1</v>
      </c>
      <c r="H27" s="309"/>
      <c r="I27" s="361">
        <f t="shared" si="3"/>
        <v>103846.15384615384</v>
      </c>
      <c r="J27" s="348">
        <v>27000</v>
      </c>
      <c r="BB27" s="264"/>
      <c r="BC27" s="264"/>
      <c r="BD27" s="264"/>
      <c r="BE27" s="264"/>
      <c r="BF27" s="264"/>
      <c r="BG27" s="264"/>
      <c r="BH27" s="264" t="s">
        <v>89</v>
      </c>
      <c r="BI27" s="264">
        <v>417000</v>
      </c>
      <c r="BJ27" s="264" t="s">
        <v>84</v>
      </c>
      <c r="BK27" s="358">
        <v>0.6</v>
      </c>
      <c r="BL27" s="358">
        <v>0.4</v>
      </c>
      <c r="BM27" s="358">
        <v>0</v>
      </c>
      <c r="BN27" s="264"/>
      <c r="BO27" s="264"/>
      <c r="BP27" s="265"/>
      <c r="BQ27" s="265"/>
      <c r="BR27" s="265"/>
      <c r="BS27" s="265"/>
      <c r="BT27" s="265"/>
      <c r="BU27" s="265"/>
      <c r="BV27" s="265"/>
      <c r="BW27" s="265"/>
      <c r="BX27" s="265"/>
      <c r="BY27" s="265"/>
      <c r="BZ27" s="265"/>
      <c r="CA27" s="265"/>
      <c r="CB27" s="265"/>
      <c r="CC27" s="265"/>
      <c r="CD27" s="265"/>
      <c r="CE27" s="266"/>
      <c r="CF27" s="266"/>
      <c r="CG27" s="266"/>
      <c r="CH27" s="266"/>
      <c r="CI27" s="266"/>
      <c r="CJ27" s="266"/>
      <c r="CK27" s="266"/>
      <c r="CL27" s="266"/>
      <c r="CM27" s="266"/>
      <c r="CN27" s="266"/>
      <c r="CO27" s="266"/>
      <c r="CP27" s="266"/>
      <c r="CQ27" s="266"/>
      <c r="CR27" s="266"/>
      <c r="CS27" s="266"/>
      <c r="CT27" s="267"/>
      <c r="CU27" s="267"/>
      <c r="CV27" s="267"/>
      <c r="CW27" s="267"/>
      <c r="CX27" s="267"/>
      <c r="CY27" s="267"/>
      <c r="CZ27" s="267"/>
      <c r="DA27" s="267"/>
      <c r="DB27" s="267"/>
      <c r="DC27" s="267"/>
      <c r="DD27" s="267"/>
      <c r="DE27" s="267"/>
      <c r="DF27" s="267"/>
      <c r="DG27" s="267"/>
      <c r="DH27" s="267"/>
      <c r="DI27" s="267"/>
      <c r="DJ27" s="268"/>
      <c r="DK27" s="268"/>
      <c r="DL27" s="268"/>
      <c r="DM27" s="268"/>
      <c r="DN27" s="268"/>
      <c r="DO27" s="268"/>
      <c r="DP27" s="268"/>
      <c r="DQ27" s="268"/>
      <c r="DR27" s="268"/>
      <c r="DS27" s="268"/>
      <c r="DT27" s="268"/>
      <c r="DU27" s="268"/>
      <c r="DV27" s="268"/>
      <c r="DW27" s="268"/>
    </row>
    <row r="28" spans="1:127" ht="12.75">
      <c r="B28" s="362"/>
      <c r="C28" s="362"/>
      <c r="D28" s="272"/>
      <c r="E28" s="272"/>
      <c r="F28" s="272"/>
      <c r="G28" s="362"/>
      <c r="M28" s="363" t="s">
        <v>95</v>
      </c>
      <c r="P28" s="364" t="s">
        <v>96</v>
      </c>
      <c r="BB28" s="264"/>
      <c r="BC28" s="264"/>
      <c r="BD28" s="264"/>
      <c r="BE28" s="264"/>
      <c r="BF28" s="264"/>
      <c r="BG28" s="264"/>
      <c r="BH28" s="264" t="s">
        <v>90</v>
      </c>
      <c r="BI28" s="264">
        <v>45000</v>
      </c>
      <c r="BJ28" s="264" t="s">
        <v>84</v>
      </c>
      <c r="BK28" s="358">
        <v>0.5</v>
      </c>
      <c r="BL28" s="358">
        <v>0</v>
      </c>
      <c r="BM28" s="358">
        <v>0.5</v>
      </c>
      <c r="BN28" s="264"/>
      <c r="BO28" s="264"/>
      <c r="BP28" s="265"/>
      <c r="BQ28" s="265"/>
      <c r="BR28" s="265"/>
      <c r="BS28" s="265"/>
      <c r="BT28" s="265"/>
      <c r="BU28" s="265"/>
      <c r="BV28" s="265"/>
      <c r="BW28" s="265"/>
      <c r="BX28" s="265"/>
      <c r="BY28" s="265"/>
      <c r="BZ28" s="265"/>
      <c r="CA28" s="265"/>
      <c r="CB28" s="265"/>
      <c r="CC28" s="265"/>
      <c r="CD28" s="265"/>
      <c r="CE28" s="266"/>
      <c r="CF28" s="266"/>
      <c r="CG28" s="266"/>
      <c r="CH28" s="266"/>
      <c r="CI28" s="266"/>
      <c r="CJ28" s="266"/>
      <c r="CK28" s="266"/>
      <c r="CL28" s="266"/>
      <c r="CM28" s="266"/>
      <c r="CN28" s="266"/>
      <c r="CO28" s="266"/>
      <c r="CP28" s="266"/>
      <c r="CQ28" s="266"/>
      <c r="CR28" s="266"/>
      <c r="CS28" s="266"/>
      <c r="CT28" s="267"/>
      <c r="CU28" s="267"/>
      <c r="CV28" s="267"/>
      <c r="CW28" s="267"/>
      <c r="CX28" s="267"/>
      <c r="CY28" s="267"/>
      <c r="CZ28" s="267"/>
      <c r="DA28" s="267"/>
      <c r="DB28" s="267"/>
      <c r="DC28" s="267"/>
      <c r="DD28" s="267"/>
      <c r="DE28" s="267"/>
      <c r="DF28" s="267"/>
      <c r="DG28" s="267"/>
      <c r="DH28" s="267"/>
      <c r="DI28" s="267"/>
      <c r="DJ28" s="268"/>
      <c r="DK28" s="268"/>
      <c r="DL28" s="268"/>
      <c r="DM28" s="268"/>
      <c r="DN28" s="268"/>
      <c r="DO28" s="268"/>
      <c r="DP28" s="268"/>
      <c r="DQ28" s="268"/>
      <c r="DR28" s="268"/>
      <c r="DS28" s="268"/>
      <c r="DT28" s="268"/>
      <c r="DU28" s="268"/>
      <c r="DV28" s="268"/>
      <c r="DW28" s="268"/>
    </row>
    <row r="29" spans="1:127" ht="12.75">
      <c r="B29" s="362"/>
      <c r="C29" s="362"/>
      <c r="D29" s="272"/>
      <c r="E29" s="272"/>
      <c r="F29" s="272"/>
      <c r="G29" s="362"/>
      <c r="M29" s="11" t="s">
        <v>97</v>
      </c>
      <c r="BB29" s="264"/>
      <c r="BC29" s="264"/>
      <c r="BD29" s="264"/>
      <c r="BE29" s="264"/>
      <c r="BF29" s="264"/>
      <c r="BG29" s="264"/>
      <c r="BH29" s="264" t="s">
        <v>91</v>
      </c>
      <c r="BI29" s="264">
        <v>28000</v>
      </c>
      <c r="BJ29" s="264" t="s">
        <v>84</v>
      </c>
      <c r="BK29" s="358">
        <v>0.2</v>
      </c>
      <c r="BL29" s="358">
        <v>0.8</v>
      </c>
      <c r="BM29" s="358">
        <v>0</v>
      </c>
      <c r="BN29" s="264"/>
      <c r="BO29" s="264"/>
      <c r="BP29" s="265"/>
      <c r="BQ29" s="265"/>
      <c r="BR29" s="265"/>
      <c r="BS29" s="265"/>
      <c r="BT29" s="265"/>
      <c r="BU29" s="265"/>
      <c r="BV29" s="265"/>
      <c r="BW29" s="265"/>
      <c r="BX29" s="265"/>
      <c r="BY29" s="265"/>
      <c r="BZ29" s="265"/>
      <c r="CA29" s="265"/>
      <c r="CB29" s="265"/>
      <c r="CC29" s="265"/>
      <c r="CD29" s="265"/>
      <c r="CE29" s="266"/>
      <c r="CF29" s="266"/>
      <c r="CG29" s="266"/>
      <c r="CH29" s="266"/>
      <c r="CI29" s="266"/>
      <c r="CJ29" s="266"/>
      <c r="CK29" s="266"/>
      <c r="CL29" s="266"/>
      <c r="CM29" s="266"/>
      <c r="CN29" s="266"/>
      <c r="CO29" s="266"/>
      <c r="CP29" s="266"/>
      <c r="CQ29" s="266"/>
      <c r="CR29" s="266"/>
      <c r="CS29" s="266"/>
      <c r="CT29" s="267"/>
      <c r="CU29" s="323"/>
      <c r="CV29" s="267"/>
      <c r="CW29" s="267"/>
      <c r="CX29" s="267"/>
      <c r="CY29" s="267"/>
      <c r="CZ29" s="267"/>
      <c r="DA29" s="267"/>
      <c r="DB29" s="267"/>
      <c r="DC29" s="267"/>
      <c r="DD29" s="267"/>
      <c r="DE29" s="267"/>
      <c r="DF29" s="267"/>
      <c r="DG29" s="267"/>
      <c r="DH29" s="267"/>
      <c r="DI29" s="267"/>
      <c r="DJ29" s="268"/>
      <c r="DK29" s="268"/>
      <c r="DL29" s="268"/>
      <c r="DM29" s="268"/>
      <c r="DN29" s="268"/>
      <c r="DO29" s="268"/>
      <c r="DP29" s="268"/>
      <c r="DQ29" s="268"/>
      <c r="DR29" s="268"/>
      <c r="DS29" s="268"/>
      <c r="DT29" s="268"/>
      <c r="DU29" s="268"/>
      <c r="DV29" s="268"/>
      <c r="DW29" s="268"/>
    </row>
    <row r="30" spans="1:127" ht="12.75">
      <c r="B30" s="362"/>
      <c r="C30" s="362"/>
      <c r="D30" s="272"/>
      <c r="E30" s="272"/>
      <c r="F30" s="272"/>
      <c r="G30" s="362"/>
      <c r="M30" s="11" t="s">
        <v>98</v>
      </c>
      <c r="N30" s="365">
        <f>SUM(N36:N40)</f>
        <v>157209</v>
      </c>
      <c r="O30" s="365"/>
      <c r="BB30" s="264"/>
      <c r="BC30" s="264"/>
      <c r="BD30" s="264"/>
      <c r="BE30" s="264"/>
      <c r="BF30" s="264"/>
      <c r="BG30" s="264"/>
      <c r="BH30" s="18"/>
      <c r="BI30" s="264"/>
      <c r="BJ30" s="264"/>
      <c r="BK30" s="358"/>
      <c r="BL30" s="358"/>
      <c r="BM30" s="358"/>
      <c r="BN30" s="264"/>
      <c r="BO30" s="264"/>
      <c r="BP30" s="265"/>
      <c r="BQ30" s="265"/>
      <c r="BR30" s="265"/>
      <c r="BS30" s="265"/>
      <c r="BT30" s="265"/>
      <c r="BU30" s="265"/>
      <c r="BV30" s="265"/>
      <c r="BW30" s="265"/>
      <c r="BX30" s="265"/>
      <c r="BY30" s="265"/>
      <c r="BZ30" s="265"/>
      <c r="CA30" s="265"/>
      <c r="CB30" s="265"/>
      <c r="CC30" s="265"/>
      <c r="CD30" s="265"/>
      <c r="CE30" s="266"/>
      <c r="CF30" s="266"/>
      <c r="CG30" s="266"/>
      <c r="CH30" s="266"/>
      <c r="CI30" s="266"/>
      <c r="CJ30" s="266"/>
      <c r="CK30" s="266"/>
      <c r="CL30" s="266"/>
      <c r="CM30" s="266"/>
      <c r="CN30" s="266"/>
      <c r="CO30" s="266"/>
      <c r="CP30" s="266"/>
      <c r="CQ30" s="266"/>
      <c r="CR30" s="266"/>
      <c r="CS30" s="266"/>
      <c r="CT30" s="267"/>
      <c r="CU30" s="267"/>
      <c r="CV30" s="267"/>
      <c r="CW30" s="267"/>
      <c r="CX30" s="267"/>
      <c r="CY30" s="267"/>
      <c r="CZ30" s="267"/>
      <c r="DA30" s="267"/>
      <c r="DB30" s="267"/>
      <c r="DC30" s="267"/>
      <c r="DD30" s="267"/>
      <c r="DE30" s="267"/>
      <c r="DF30" s="267"/>
      <c r="DG30" s="267"/>
      <c r="DH30" s="267"/>
      <c r="DI30" s="267"/>
      <c r="DJ30" s="268"/>
      <c r="DK30" s="268"/>
      <c r="DL30" s="268"/>
      <c r="DM30" s="268"/>
      <c r="DN30" s="268"/>
      <c r="DO30" s="268"/>
      <c r="DP30" s="268"/>
      <c r="DQ30" s="268"/>
      <c r="DR30" s="268"/>
      <c r="DS30" s="268"/>
      <c r="DT30" s="268"/>
      <c r="DU30" s="268"/>
      <c r="DV30" s="268"/>
      <c r="DW30" s="268"/>
    </row>
    <row r="31" spans="1:127" ht="12.75">
      <c r="A31" s="35" t="s">
        <v>127</v>
      </c>
      <c r="M31" s="11" t="s">
        <v>100</v>
      </c>
      <c r="N31" s="365">
        <v>199471</v>
      </c>
      <c r="BB31" s="264"/>
      <c r="BC31" s="264"/>
      <c r="BD31" s="264"/>
      <c r="BE31" s="264"/>
      <c r="BF31" s="264"/>
      <c r="BG31" s="264"/>
      <c r="BH31" s="264" t="s">
        <v>87</v>
      </c>
      <c r="BI31" s="264">
        <f>71000*0.9</f>
        <v>63900</v>
      </c>
      <c r="BJ31" s="264" t="s">
        <v>84</v>
      </c>
      <c r="BK31" s="358">
        <v>0.2</v>
      </c>
      <c r="BL31" s="358">
        <v>0.8</v>
      </c>
      <c r="BM31" s="358">
        <v>0</v>
      </c>
      <c r="BN31" s="264"/>
      <c r="BO31" s="264"/>
      <c r="BP31" s="265"/>
      <c r="BQ31" s="265"/>
      <c r="BR31" s="265"/>
      <c r="BS31" s="265"/>
      <c r="BT31" s="265"/>
      <c r="BU31" s="265"/>
      <c r="BV31" s="265"/>
      <c r="BW31" s="265"/>
      <c r="BX31" s="265"/>
      <c r="BY31" s="265"/>
      <c r="BZ31" s="265"/>
      <c r="CA31" s="265"/>
      <c r="CB31" s="265"/>
      <c r="CC31" s="265"/>
      <c r="CD31" s="265"/>
      <c r="CE31" s="266"/>
      <c r="CF31" s="266"/>
      <c r="CG31" s="266"/>
      <c r="CH31" s="266"/>
      <c r="CI31" s="266"/>
      <c r="CJ31" s="266"/>
      <c r="CK31" s="266"/>
      <c r="CL31" s="266"/>
      <c r="CM31" s="266"/>
      <c r="CN31" s="266"/>
      <c r="CO31" s="266"/>
      <c r="CP31" s="266"/>
      <c r="CQ31" s="266"/>
      <c r="CR31" s="266"/>
      <c r="CS31" s="266"/>
      <c r="CT31" s="267"/>
      <c r="CU31" s="267"/>
      <c r="CV31" s="267"/>
      <c r="CW31" s="267"/>
      <c r="CX31" s="267"/>
      <c r="CY31" s="267"/>
      <c r="CZ31" s="267"/>
      <c r="DA31" s="267"/>
      <c r="DB31" s="267"/>
      <c r="DC31" s="267"/>
      <c r="DD31" s="267"/>
      <c r="DE31" s="267"/>
      <c r="DF31" s="267"/>
      <c r="DG31" s="267"/>
      <c r="DH31" s="267"/>
      <c r="DI31" s="267"/>
      <c r="DJ31" s="268"/>
      <c r="DK31" s="268"/>
      <c r="DL31" s="268"/>
      <c r="DM31" s="268"/>
      <c r="DN31" s="268"/>
      <c r="DO31" s="268"/>
      <c r="DP31" s="268"/>
      <c r="DQ31" s="268"/>
      <c r="DR31" s="268"/>
      <c r="DS31" s="268"/>
      <c r="DT31" s="268"/>
      <c r="DU31" s="268"/>
      <c r="DV31" s="268"/>
      <c r="DW31" s="268"/>
    </row>
    <row r="32" spans="1:127" ht="85.5">
      <c r="A32" s="269" t="s">
        <v>0</v>
      </c>
      <c r="B32" s="366" t="s">
        <v>76</v>
      </c>
      <c r="C32" s="367" t="s">
        <v>77</v>
      </c>
      <c r="D32" s="366" t="s">
        <v>75</v>
      </c>
      <c r="E32" s="367" t="s">
        <v>6</v>
      </c>
      <c r="F32" s="35"/>
      <c r="G32" s="367" t="s">
        <v>13</v>
      </c>
      <c r="M32" s="415" t="s">
        <v>106</v>
      </c>
      <c r="N32" s="368">
        <v>0.78</v>
      </c>
      <c r="O32" s="368"/>
      <c r="BB32" s="264"/>
      <c r="BC32" s="264"/>
      <c r="BD32" s="264"/>
      <c r="BE32" s="264"/>
      <c r="BF32" s="264"/>
      <c r="BG32" s="264"/>
      <c r="BH32" s="18"/>
      <c r="BI32" s="18"/>
      <c r="BJ32" s="18"/>
      <c r="BK32" s="19"/>
      <c r="BL32" s="19"/>
      <c r="BM32" s="19"/>
      <c r="BN32" s="264"/>
      <c r="BO32" s="264"/>
      <c r="BP32" s="265"/>
      <c r="BQ32" s="265"/>
      <c r="BR32" s="265"/>
      <c r="BS32" s="265"/>
      <c r="BT32" s="265"/>
      <c r="BU32" s="265"/>
      <c r="BV32" s="265"/>
      <c r="BW32" s="265"/>
      <c r="BX32" s="265"/>
      <c r="BY32" s="265"/>
      <c r="BZ32" s="265"/>
      <c r="CA32" s="265"/>
      <c r="CB32" s="265"/>
      <c r="CC32" s="265"/>
      <c r="CD32" s="265"/>
      <c r="CE32" s="266"/>
      <c r="CF32" s="266"/>
      <c r="CG32" s="266"/>
      <c r="CH32" s="266"/>
      <c r="CI32" s="266"/>
      <c r="CJ32" s="266"/>
      <c r="CK32" s="266"/>
      <c r="CL32" s="266"/>
      <c r="CM32" s="266"/>
      <c r="CN32" s="266"/>
      <c r="CO32" s="266"/>
      <c r="CP32" s="266"/>
      <c r="CQ32" s="266"/>
      <c r="CR32" s="266"/>
      <c r="CS32" s="266"/>
      <c r="CT32" s="267"/>
      <c r="CU32" s="267"/>
      <c r="CV32" s="267"/>
      <c r="CW32" s="267"/>
      <c r="CX32" s="267"/>
      <c r="CY32" s="267"/>
      <c r="CZ32" s="267"/>
      <c r="DA32" s="267"/>
      <c r="DB32" s="267"/>
      <c r="DC32" s="267"/>
      <c r="DD32" s="267"/>
      <c r="DE32" s="267"/>
      <c r="DF32" s="267"/>
      <c r="DG32" s="267"/>
      <c r="DH32" s="267"/>
      <c r="DI32" s="267"/>
      <c r="DJ32" s="268"/>
      <c r="DK32" s="268"/>
      <c r="DL32" s="268"/>
      <c r="DM32" s="268"/>
      <c r="DN32" s="268"/>
      <c r="DO32" s="268"/>
      <c r="DP32" s="268"/>
      <c r="DQ32" s="268"/>
      <c r="DR32" s="268"/>
      <c r="DS32" s="268"/>
      <c r="DT32" s="268"/>
      <c r="DU32" s="268"/>
      <c r="DV32" s="268"/>
      <c r="DW32" s="268"/>
    </row>
    <row r="33" spans="1:127" ht="12.75">
      <c r="A33" s="12" t="s">
        <v>7</v>
      </c>
      <c r="B33" s="369">
        <f t="shared" ref="B33:B40" si="4">B20*I20/(I20+I10)</f>
        <v>3.8421039481151775E-2</v>
      </c>
      <c r="C33" s="369">
        <f t="shared" ref="C33:C40" si="5">C20*I20/(I20+I10)</f>
        <v>0.20171045727604681</v>
      </c>
      <c r="D33" s="369">
        <f t="shared" ref="D33:D40" si="6">B10*I10/(I10+I20)</f>
        <v>0.14616699802612088</v>
      </c>
      <c r="E33" s="369">
        <f t="shared" ref="E33:E40" si="7">C10*I10/(I10+I20)</f>
        <v>0.61370150521668054</v>
      </c>
      <c r="F33" s="369"/>
      <c r="G33" s="370">
        <f t="shared" ref="G33" si="8">SUM(B33:F33)</f>
        <v>1</v>
      </c>
      <c r="N33" s="368"/>
      <c r="BB33" s="264"/>
      <c r="BC33" s="264"/>
      <c r="BD33" s="264"/>
      <c r="BE33" s="264"/>
      <c r="BF33" s="264"/>
      <c r="BG33" s="264"/>
      <c r="BH33" s="14" t="s">
        <v>92</v>
      </c>
      <c r="BI33" s="14">
        <f>SUM(BI23:BI32)</f>
        <v>588900</v>
      </c>
      <c r="BJ33" s="14" t="s">
        <v>84</v>
      </c>
      <c r="BK33" s="264"/>
      <c r="BL33" s="264"/>
      <c r="BM33" s="264"/>
      <c r="BN33" s="264"/>
      <c r="BO33" s="264"/>
      <c r="BP33" s="265" t="s">
        <v>240</v>
      </c>
      <c r="BQ33" s="265"/>
      <c r="BR33" s="265"/>
      <c r="BS33" s="265"/>
      <c r="BT33" s="265"/>
      <c r="BU33" s="265"/>
      <c r="BV33" s="265"/>
      <c r="BW33" s="265"/>
      <c r="BX33" s="265"/>
      <c r="BY33" s="265"/>
      <c r="BZ33" s="265"/>
      <c r="CA33" s="265"/>
      <c r="CB33" s="265"/>
      <c r="CC33" s="265"/>
      <c r="CD33" s="265"/>
      <c r="CE33" s="266"/>
      <c r="CF33" s="266"/>
      <c r="CG33" s="266"/>
      <c r="CH33" s="266"/>
      <c r="CI33" s="266"/>
      <c r="CJ33" s="266"/>
      <c r="CK33" s="266"/>
      <c r="CL33" s="266"/>
      <c r="CM33" s="266"/>
      <c r="CN33" s="266"/>
      <c r="CO33" s="266"/>
      <c r="CP33" s="266"/>
      <c r="CQ33" s="266"/>
      <c r="CR33" s="266"/>
      <c r="CS33" s="266"/>
      <c r="CT33" s="267"/>
      <c r="CU33" s="267"/>
      <c r="CV33" s="267"/>
      <c r="CW33" s="267"/>
      <c r="CX33" s="267"/>
      <c r="CY33" s="267"/>
      <c r="CZ33" s="267"/>
      <c r="DA33" s="267"/>
      <c r="DB33" s="267"/>
      <c r="DC33" s="267"/>
      <c r="DD33" s="267"/>
      <c r="DE33" s="267"/>
      <c r="DF33" s="267"/>
      <c r="DG33" s="267"/>
      <c r="DH33" s="267"/>
      <c r="DI33" s="267"/>
      <c r="DJ33" s="268"/>
      <c r="DK33" s="268"/>
      <c r="DL33" s="268"/>
      <c r="DM33" s="268"/>
      <c r="DN33" s="268"/>
      <c r="DO33" s="268"/>
      <c r="DP33" s="268"/>
      <c r="DQ33" s="268"/>
      <c r="DR33" s="268"/>
      <c r="DS33" s="268"/>
      <c r="DT33" s="268"/>
      <c r="DU33" s="268"/>
      <c r="DV33" s="268"/>
      <c r="DW33" s="268"/>
    </row>
    <row r="34" spans="1:127" ht="12.75">
      <c r="A34" s="11" t="s">
        <v>63</v>
      </c>
      <c r="B34" s="368">
        <f t="shared" si="4"/>
        <v>3.9199288002847991E-2</v>
      </c>
      <c r="C34" s="368">
        <f t="shared" si="5"/>
        <v>0.28746144535421858</v>
      </c>
      <c r="D34" s="368">
        <f t="shared" si="6"/>
        <v>0.43139017443930222</v>
      </c>
      <c r="E34" s="368">
        <f t="shared" si="7"/>
        <v>0.24194909220363117</v>
      </c>
      <c r="F34" s="368"/>
      <c r="G34" s="371">
        <f>SUM(B34:F34)</f>
        <v>1</v>
      </c>
      <c r="AD34" s="12" t="s">
        <v>99</v>
      </c>
      <c r="BB34" s="264"/>
      <c r="BC34" s="264"/>
      <c r="BD34" s="264"/>
      <c r="BE34" s="264"/>
      <c r="BF34" s="264"/>
      <c r="BG34" s="264"/>
      <c r="BH34" s="14" t="s">
        <v>93</v>
      </c>
      <c r="BI34" s="14"/>
      <c r="BJ34" s="14"/>
      <c r="BK34" s="358">
        <f>SUMPRODUCT(BK23:BK32,BI23:BI32)/$BI$33</f>
        <v>0.52042791645440656</v>
      </c>
      <c r="BL34" s="358">
        <f>SUMPRODUCT(BL23:BL32,BI23:BI32)/$BI$33</f>
        <v>0.44136525725929698</v>
      </c>
      <c r="BM34" s="358">
        <f>SUMPRODUCT(BM23:BM32,BI23:BI32)/$BI$33</f>
        <v>3.8206826286296486E-2</v>
      </c>
      <c r="BN34" s="372">
        <f>SUM(BK34:BM34)</f>
        <v>1</v>
      </c>
      <c r="BO34" s="264"/>
      <c r="BP34" s="297" t="s">
        <v>81</v>
      </c>
      <c r="BQ34" s="265"/>
      <c r="BR34" s="265"/>
      <c r="BS34" s="265"/>
      <c r="BT34" s="265"/>
      <c r="BU34" s="265"/>
      <c r="BV34" s="265"/>
      <c r="BW34" s="265"/>
      <c r="BX34" s="265"/>
      <c r="BY34" s="265"/>
      <c r="BZ34" s="265"/>
      <c r="CA34" s="265"/>
      <c r="CB34" s="265" t="s">
        <v>122</v>
      </c>
      <c r="CC34" s="265" t="s">
        <v>73</v>
      </c>
      <c r="CD34" s="265" t="s">
        <v>16</v>
      </c>
      <c r="CE34" s="266"/>
      <c r="CF34" s="266"/>
      <c r="CG34" s="266"/>
      <c r="CH34" s="266"/>
      <c r="CI34" s="266"/>
      <c r="CJ34" s="266"/>
      <c r="CK34" s="266"/>
      <c r="CL34" s="266"/>
      <c r="CM34" s="266"/>
      <c r="CN34" s="266"/>
      <c r="CO34" s="266"/>
      <c r="CP34" s="266"/>
      <c r="CQ34" s="266"/>
      <c r="CR34" s="266"/>
      <c r="CS34" s="266"/>
      <c r="CT34" s="267"/>
      <c r="CU34" s="267"/>
      <c r="CV34" s="267"/>
      <c r="CW34" s="267"/>
      <c r="CX34" s="267"/>
      <c r="CY34" s="267"/>
      <c r="CZ34" s="267"/>
      <c r="DA34" s="267"/>
      <c r="DB34" s="267"/>
      <c r="DC34" s="267"/>
      <c r="DD34" s="267"/>
      <c r="DE34" s="267"/>
      <c r="DF34" s="267"/>
      <c r="DG34" s="267"/>
      <c r="DH34" s="267"/>
      <c r="DI34" s="267"/>
      <c r="DJ34" s="268"/>
      <c r="DK34" s="268"/>
      <c r="DL34" s="268"/>
      <c r="DM34" s="268"/>
      <c r="DN34" s="268"/>
      <c r="DO34" s="268"/>
      <c r="DP34" s="268"/>
      <c r="DQ34" s="268"/>
      <c r="DR34" s="268"/>
      <c r="DS34" s="268"/>
      <c r="DT34" s="268"/>
      <c r="DU34" s="268"/>
      <c r="DV34" s="268"/>
      <c r="DW34" s="268"/>
    </row>
    <row r="35" spans="1:127" ht="12.75">
      <c r="A35" s="13" t="s">
        <v>9</v>
      </c>
      <c r="B35" s="373">
        <f t="shared" si="4"/>
        <v>6.9230769230769235E-2</v>
      </c>
      <c r="C35" s="373">
        <f t="shared" si="5"/>
        <v>0.26043956043956046</v>
      </c>
      <c r="D35" s="373">
        <f t="shared" si="6"/>
        <v>0.16483516483516483</v>
      </c>
      <c r="E35" s="373">
        <f t="shared" si="7"/>
        <v>0.50549450549450547</v>
      </c>
      <c r="F35" s="373"/>
      <c r="G35" s="374">
        <f>SUM(B35:F35)</f>
        <v>1</v>
      </c>
      <c r="M35" s="11" t="s">
        <v>109</v>
      </c>
      <c r="N35" s="11" t="s">
        <v>110</v>
      </c>
      <c r="O35" s="11" t="s">
        <v>75</v>
      </c>
      <c r="P35" s="11" t="s">
        <v>111</v>
      </c>
      <c r="Q35" s="11" t="s">
        <v>105</v>
      </c>
      <c r="R35" s="11" t="s">
        <v>112</v>
      </c>
      <c r="S35" s="11" t="s">
        <v>113</v>
      </c>
      <c r="T35" s="11" t="s">
        <v>114</v>
      </c>
      <c r="AE35" s="12" t="s">
        <v>84</v>
      </c>
      <c r="AF35" s="12" t="s">
        <v>101</v>
      </c>
      <c r="AG35" s="12" t="s">
        <v>102</v>
      </c>
      <c r="AH35" s="375" t="s">
        <v>103</v>
      </c>
      <c r="AI35" s="12" t="s">
        <v>104</v>
      </c>
      <c r="AJ35" s="12" t="s">
        <v>105</v>
      </c>
      <c r="BB35" s="264"/>
      <c r="BC35" s="264"/>
      <c r="BD35" s="264"/>
      <c r="BE35" s="264"/>
      <c r="BF35" s="264"/>
      <c r="BG35" s="264"/>
      <c r="BH35" s="264"/>
      <c r="BI35" s="264"/>
      <c r="BJ35" s="264"/>
      <c r="BK35" s="264"/>
      <c r="BL35" s="264"/>
      <c r="BM35" s="264"/>
      <c r="BN35" s="264"/>
      <c r="BO35" s="264"/>
      <c r="BP35" s="265" t="s">
        <v>241</v>
      </c>
      <c r="BQ35" s="265"/>
      <c r="BR35" s="265"/>
      <c r="BS35" s="265"/>
      <c r="BT35" s="265">
        <v>760000</v>
      </c>
      <c r="BU35" s="265" t="s">
        <v>84</v>
      </c>
      <c r="BV35" s="265"/>
      <c r="BW35" s="265"/>
      <c r="BX35" s="265"/>
      <c r="BY35" s="265"/>
      <c r="BZ35" s="265" t="s">
        <v>243</v>
      </c>
      <c r="CA35" s="336">
        <v>0.01</v>
      </c>
      <c r="CB35" s="265">
        <f>CA35*CA37</f>
        <v>7600</v>
      </c>
      <c r="CC35" s="337">
        <v>0.05</v>
      </c>
      <c r="CD35" s="337">
        <v>0.95</v>
      </c>
      <c r="CE35" s="266"/>
      <c r="CF35" s="266"/>
      <c r="CG35" s="266"/>
      <c r="CH35" s="266"/>
      <c r="CI35" s="266"/>
      <c r="CJ35" s="266"/>
      <c r="CK35" s="266"/>
      <c r="CL35" s="266"/>
      <c r="CM35" s="266"/>
      <c r="CN35" s="266"/>
      <c r="CO35" s="266"/>
      <c r="CP35" s="266"/>
      <c r="CQ35" s="266"/>
      <c r="CR35" s="266"/>
      <c r="CS35" s="266"/>
      <c r="CT35" s="267"/>
      <c r="CU35" s="267"/>
      <c r="CV35" s="267"/>
      <c r="CW35" s="267"/>
      <c r="CX35" s="267"/>
      <c r="CY35" s="267"/>
      <c r="CZ35" s="267"/>
      <c r="DA35" s="267"/>
      <c r="DB35" s="267"/>
      <c r="DC35" s="267"/>
      <c r="DD35" s="267"/>
      <c r="DE35" s="267"/>
      <c r="DF35" s="267"/>
      <c r="DG35" s="267"/>
      <c r="DH35" s="267"/>
      <c r="DI35" s="267"/>
      <c r="DJ35" s="268"/>
      <c r="DK35" s="268"/>
      <c r="DL35" s="268"/>
      <c r="DM35" s="268"/>
      <c r="DN35" s="268"/>
      <c r="DO35" s="268"/>
      <c r="DP35" s="268"/>
      <c r="DQ35" s="268"/>
      <c r="DR35" s="268"/>
      <c r="DS35" s="268"/>
      <c r="DT35" s="268"/>
      <c r="DU35" s="268"/>
      <c r="DV35" s="268"/>
      <c r="DW35" s="268"/>
    </row>
    <row r="36" spans="1:127" ht="12.75">
      <c r="A36" s="264" t="s">
        <v>208</v>
      </c>
      <c r="B36" s="358">
        <f t="shared" si="4"/>
        <v>1.9065302911093627E-2</v>
      </c>
      <c r="C36" s="358">
        <f t="shared" si="5"/>
        <v>5.4262785208497248E-2</v>
      </c>
      <c r="D36" s="358">
        <f t="shared" si="6"/>
        <v>0.40900078678206137</v>
      </c>
      <c r="E36" s="358">
        <f t="shared" si="7"/>
        <v>0.51767112509834778</v>
      </c>
      <c r="F36" s="358"/>
      <c r="G36" s="376">
        <f>SUM(B36:F36)</f>
        <v>1</v>
      </c>
      <c r="M36" s="11">
        <v>2</v>
      </c>
      <c r="N36" s="365">
        <v>12882</v>
      </c>
      <c r="O36" s="27">
        <v>0.71</v>
      </c>
      <c r="P36" s="365">
        <f>N36*O36</f>
        <v>9146.2199999999993</v>
      </c>
      <c r="Q36" s="377">
        <f>0.94-O36</f>
        <v>0.22999999999999998</v>
      </c>
      <c r="R36" s="365">
        <f>Q36*N36</f>
        <v>2962.8599999999997</v>
      </c>
      <c r="S36" s="377">
        <f>1-O36-Q36</f>
        <v>6.0000000000000053E-2</v>
      </c>
      <c r="T36" s="365">
        <f>S36*N36</f>
        <v>772.92000000000064</v>
      </c>
      <c r="AD36" s="12" t="s">
        <v>107</v>
      </c>
      <c r="AE36" s="375">
        <v>83000</v>
      </c>
      <c r="AF36" s="369">
        <f>AE36/115000</f>
        <v>0.72173913043478266</v>
      </c>
      <c r="AG36" s="375">
        <f>AF36*5000</f>
        <v>3608.6956521739135</v>
      </c>
      <c r="AH36" s="375">
        <f>AF36*60000</f>
        <v>43304.34782608696</v>
      </c>
      <c r="AI36" s="375">
        <f>AF36*(22000+14000)</f>
        <v>25982.608695652176</v>
      </c>
      <c r="AJ36" s="24">
        <f>AF36*14000</f>
        <v>10104.347826086958</v>
      </c>
      <c r="BB36" s="264"/>
      <c r="BC36" s="264"/>
      <c r="BD36" s="264"/>
      <c r="BE36" s="264"/>
      <c r="BF36" s="264"/>
      <c r="BG36" s="264"/>
      <c r="BH36" s="264"/>
      <c r="BI36" s="264"/>
      <c r="BJ36" s="264"/>
      <c r="BK36" s="264"/>
      <c r="BL36" s="264"/>
      <c r="BM36" s="264"/>
      <c r="BN36" s="264"/>
      <c r="BO36" s="264"/>
      <c r="BP36" s="265"/>
      <c r="BQ36" s="265"/>
      <c r="BR36" s="265"/>
      <c r="BS36" s="265"/>
      <c r="BT36" s="265"/>
      <c r="BU36" s="265"/>
      <c r="BV36" s="265"/>
      <c r="BW36" s="265"/>
      <c r="BX36" s="265"/>
      <c r="BY36" s="265"/>
      <c r="BZ36" s="30"/>
      <c r="CA36" s="31"/>
      <c r="CB36" s="30"/>
      <c r="CC36" s="32"/>
      <c r="CD36" s="32"/>
      <c r="CE36" s="266"/>
      <c r="CF36" s="266"/>
      <c r="CG36" s="266"/>
      <c r="CH36" s="266"/>
      <c r="CI36" s="266"/>
      <c r="CJ36" s="266"/>
      <c r="CK36" s="266"/>
      <c r="CL36" s="266"/>
      <c r="CM36" s="266"/>
      <c r="CN36" s="266"/>
      <c r="CO36" s="266"/>
      <c r="CP36" s="266"/>
      <c r="CQ36" s="266"/>
      <c r="CR36" s="266"/>
      <c r="CS36" s="266"/>
      <c r="CT36" s="267"/>
      <c r="CU36" s="267"/>
      <c r="CV36" s="267"/>
      <c r="CW36" s="267"/>
      <c r="CX36" s="267"/>
      <c r="CY36" s="267"/>
      <c r="CZ36" s="267"/>
      <c r="DA36" s="267"/>
      <c r="DB36" s="267"/>
      <c r="DC36" s="267"/>
      <c r="DD36" s="267"/>
      <c r="DE36" s="267"/>
      <c r="DF36" s="267"/>
      <c r="DG36" s="267"/>
      <c r="DH36" s="267"/>
      <c r="DI36" s="267"/>
      <c r="DJ36" s="268"/>
      <c r="DK36" s="268"/>
      <c r="DL36" s="268"/>
      <c r="DM36" s="268"/>
      <c r="DN36" s="268"/>
      <c r="DO36" s="268"/>
      <c r="DP36" s="268"/>
      <c r="DQ36" s="268"/>
      <c r="DR36" s="268"/>
      <c r="DS36" s="268"/>
      <c r="DT36" s="268"/>
      <c r="DU36" s="268"/>
      <c r="DV36" s="268"/>
      <c r="DW36" s="268"/>
    </row>
    <row r="37" spans="1:127" ht="12.75">
      <c r="A37" s="268" t="s">
        <v>10</v>
      </c>
      <c r="B37" s="315">
        <f t="shared" si="4"/>
        <v>0.15046296296296294</v>
      </c>
      <c r="C37" s="315">
        <f t="shared" si="5"/>
        <v>0.4282407407407407</v>
      </c>
      <c r="D37" s="315">
        <f t="shared" si="6"/>
        <v>0.33703703703703702</v>
      </c>
      <c r="E37" s="315">
        <f t="shared" si="7"/>
        <v>8.4259259259259256E-2</v>
      </c>
      <c r="F37" s="315"/>
      <c r="G37" s="378">
        <f t="shared" ref="G37:G40" si="9">SUM(B37:F37)</f>
        <v>0.99999999999999989</v>
      </c>
      <c r="M37" s="11">
        <v>3</v>
      </c>
      <c r="N37" s="365">
        <v>1542</v>
      </c>
      <c r="O37" s="27">
        <v>1</v>
      </c>
      <c r="P37" s="365">
        <f t="shared" ref="P37:P40" si="10">N37*O37</f>
        <v>1542</v>
      </c>
      <c r="Q37" s="377">
        <f>1-O37</f>
        <v>0</v>
      </c>
      <c r="R37" s="365">
        <f t="shared" ref="R37:R40" si="11">Q37*N37</f>
        <v>0</v>
      </c>
      <c r="S37" s="377">
        <f t="shared" ref="S37:S40" si="12">1-O37-Q37</f>
        <v>0</v>
      </c>
      <c r="T37" s="365">
        <f t="shared" ref="T37:T40" si="13">S37*N37</f>
        <v>0</v>
      </c>
      <c r="AD37" s="12" t="s">
        <v>108</v>
      </c>
      <c r="AE37" s="375">
        <v>8000</v>
      </c>
      <c r="AF37" s="369">
        <f>AE37/115000</f>
        <v>6.9565217391304349E-2</v>
      </c>
      <c r="AG37" s="375">
        <f>AF37*5000</f>
        <v>347.82608695652175</v>
      </c>
      <c r="AH37" s="375">
        <f>AF37*60000</f>
        <v>4173.913043478261</v>
      </c>
      <c r="AI37" s="375">
        <f>AF37*(22000+14000)</f>
        <v>2504.3478260869565</v>
      </c>
      <c r="AJ37" s="24">
        <f>AF37*14000</f>
        <v>973.91304347826087</v>
      </c>
      <c r="BB37" s="264"/>
      <c r="BC37" s="264"/>
      <c r="BD37" s="264"/>
      <c r="BE37" s="264"/>
      <c r="BF37" s="264"/>
      <c r="BG37" s="264"/>
      <c r="BH37" s="264"/>
      <c r="BI37" s="264"/>
      <c r="BJ37" s="264"/>
      <c r="BK37" s="264"/>
      <c r="BL37" s="264"/>
      <c r="BM37" s="264"/>
      <c r="BN37" s="264"/>
      <c r="BO37" s="264"/>
      <c r="BP37" s="265"/>
      <c r="BQ37" s="265"/>
      <c r="BR37" s="265"/>
      <c r="BS37" s="265"/>
      <c r="BT37" s="265"/>
      <c r="BU37" s="265"/>
      <c r="BV37" s="265"/>
      <c r="BW37" s="265"/>
      <c r="BX37" s="265"/>
      <c r="BY37" s="265"/>
      <c r="BZ37" s="15" t="s">
        <v>245</v>
      </c>
      <c r="CA37" s="349">
        <v>760000</v>
      </c>
      <c r="CB37" s="265"/>
      <c r="CC37" s="265"/>
      <c r="CD37" s="265"/>
      <c r="CE37" s="266"/>
      <c r="CF37" s="266"/>
      <c r="CG37" s="266"/>
      <c r="CH37" s="266"/>
      <c r="CI37" s="266"/>
      <c r="CJ37" s="266"/>
      <c r="CK37" s="266"/>
      <c r="CL37" s="266"/>
      <c r="CM37" s="266"/>
      <c r="CN37" s="266"/>
      <c r="CO37" s="266"/>
      <c r="CP37" s="266"/>
      <c r="CQ37" s="266"/>
      <c r="CR37" s="266"/>
      <c r="CS37" s="266"/>
      <c r="CT37" s="267"/>
      <c r="CU37" s="267"/>
      <c r="CV37" s="267"/>
      <c r="CW37" s="267"/>
      <c r="CX37" s="267"/>
      <c r="CY37" s="267"/>
      <c r="CZ37" s="267"/>
      <c r="DA37" s="267"/>
      <c r="DB37" s="267"/>
      <c r="DC37" s="267"/>
      <c r="DD37" s="267"/>
      <c r="DE37" s="267"/>
      <c r="DF37" s="267"/>
      <c r="DG37" s="267"/>
      <c r="DH37" s="267"/>
      <c r="DI37" s="267"/>
      <c r="DJ37" s="268"/>
      <c r="DK37" s="268"/>
      <c r="DL37" s="268"/>
      <c r="DM37" s="268"/>
      <c r="DN37" s="268"/>
      <c r="DO37" s="268"/>
      <c r="DP37" s="268"/>
      <c r="DQ37" s="268"/>
      <c r="DR37" s="268"/>
      <c r="DS37" s="268"/>
      <c r="DT37" s="268"/>
      <c r="DU37" s="268"/>
      <c r="DV37" s="268"/>
      <c r="DW37" s="268"/>
    </row>
    <row r="38" spans="1:127" ht="12.75">
      <c r="A38" s="265" t="s">
        <v>70</v>
      </c>
      <c r="B38" s="337">
        <f t="shared" si="4"/>
        <v>0.1014999612218097</v>
      </c>
      <c r="C38" s="337">
        <f t="shared" si="5"/>
        <v>0.28888450501591983</v>
      </c>
      <c r="D38" s="337">
        <f t="shared" si="6"/>
        <v>0.57913475707415696</v>
      </c>
      <c r="E38" s="337">
        <f t="shared" si="7"/>
        <v>3.0480776688113526E-2</v>
      </c>
      <c r="F38" s="337"/>
      <c r="G38" s="379">
        <f t="shared" si="9"/>
        <v>1</v>
      </c>
      <c r="M38" s="11">
        <v>4</v>
      </c>
      <c r="N38" s="365">
        <v>87332</v>
      </c>
      <c r="O38" s="27">
        <v>0.81</v>
      </c>
      <c r="P38" s="365">
        <f t="shared" si="10"/>
        <v>70738.92</v>
      </c>
      <c r="Q38" s="377">
        <f>0.96-O38</f>
        <v>0.14999999999999991</v>
      </c>
      <c r="R38" s="365">
        <f t="shared" si="11"/>
        <v>13099.799999999992</v>
      </c>
      <c r="S38" s="377">
        <f t="shared" si="12"/>
        <v>4.0000000000000036E-2</v>
      </c>
      <c r="T38" s="365">
        <f t="shared" si="13"/>
        <v>3493.2800000000029</v>
      </c>
      <c r="AI38" s="375">
        <f>SUM(AI36:AI37)</f>
        <v>28486.956521739132</v>
      </c>
      <c r="AJ38" s="375">
        <f>SUM(AJ36:AJ37)</f>
        <v>11078.260869565218</v>
      </c>
      <c r="BB38" s="264"/>
      <c r="BC38" s="264"/>
      <c r="BD38" s="264"/>
      <c r="BE38" s="264"/>
      <c r="BF38" s="264"/>
      <c r="BG38" s="264"/>
      <c r="BH38" s="264"/>
      <c r="BI38" s="264"/>
      <c r="BJ38" s="264"/>
      <c r="BK38" s="264"/>
      <c r="BL38" s="264"/>
      <c r="BM38" s="264"/>
      <c r="BN38" s="264"/>
      <c r="BO38" s="264"/>
      <c r="BP38" s="265"/>
      <c r="BQ38" s="265"/>
      <c r="BR38" s="265"/>
      <c r="BS38" s="265"/>
      <c r="BT38" s="265"/>
      <c r="BU38" s="265"/>
      <c r="BV38" s="265"/>
      <c r="BW38" s="265"/>
      <c r="BX38" s="265"/>
      <c r="BY38" s="265"/>
      <c r="BZ38" s="265"/>
      <c r="CA38" s="265"/>
      <c r="CB38" s="265"/>
      <c r="CC38" s="265"/>
      <c r="CD38" s="265"/>
      <c r="CE38" s="266"/>
      <c r="CF38" s="266"/>
      <c r="CG38" s="266"/>
      <c r="CH38" s="266"/>
      <c r="CI38" s="266"/>
      <c r="CJ38" s="266"/>
      <c r="CK38" s="266"/>
      <c r="CL38" s="266"/>
      <c r="CM38" s="266"/>
      <c r="CN38" s="266"/>
      <c r="CO38" s="266"/>
      <c r="CP38" s="266"/>
      <c r="CQ38" s="266"/>
      <c r="CR38" s="266"/>
      <c r="CS38" s="266"/>
      <c r="CT38" s="267"/>
      <c r="CU38" s="267"/>
      <c r="CV38" s="267"/>
      <c r="CW38" s="267"/>
      <c r="CX38" s="267"/>
      <c r="CY38" s="267"/>
      <c r="CZ38" s="267"/>
      <c r="DA38" s="267"/>
      <c r="DB38" s="267"/>
      <c r="DC38" s="267"/>
      <c r="DD38" s="267"/>
      <c r="DE38" s="267"/>
      <c r="DF38" s="267"/>
      <c r="DG38" s="267"/>
      <c r="DH38" s="267"/>
      <c r="DI38" s="267"/>
      <c r="DJ38" s="268"/>
      <c r="DK38" s="268"/>
      <c r="DL38" s="268"/>
      <c r="DM38" s="268"/>
      <c r="DN38" s="268"/>
      <c r="DO38" s="268"/>
      <c r="DP38" s="268"/>
      <c r="DQ38" s="268"/>
      <c r="DR38" s="268"/>
      <c r="DS38" s="268"/>
      <c r="DT38" s="268"/>
      <c r="DU38" s="268"/>
      <c r="DV38" s="268"/>
      <c r="DW38" s="268"/>
    </row>
    <row r="39" spans="1:127" ht="12.75">
      <c r="A39" s="266" t="s">
        <v>8</v>
      </c>
      <c r="B39" s="329">
        <f t="shared" si="4"/>
        <v>0.1059967238858725</v>
      </c>
      <c r="C39" s="329">
        <f t="shared" si="5"/>
        <v>0.30168298336748328</v>
      </c>
      <c r="D39" s="329">
        <f t="shared" si="6"/>
        <v>0.29616014637332205</v>
      </c>
      <c r="E39" s="329">
        <f t="shared" si="7"/>
        <v>0.29616014637332205</v>
      </c>
      <c r="F39" s="329"/>
      <c r="G39" s="380">
        <f t="shared" si="9"/>
        <v>1</v>
      </c>
      <c r="M39" s="11">
        <v>5</v>
      </c>
      <c r="N39" s="365">
        <v>38922</v>
      </c>
      <c r="O39" s="27">
        <v>0.69</v>
      </c>
      <c r="P39" s="365">
        <f t="shared" si="10"/>
        <v>26856.179999999997</v>
      </c>
      <c r="Q39" s="377">
        <f>0.97-O39</f>
        <v>0.28000000000000003</v>
      </c>
      <c r="R39" s="365">
        <f t="shared" si="11"/>
        <v>10898.160000000002</v>
      </c>
      <c r="S39" s="377">
        <f t="shared" si="12"/>
        <v>3.0000000000000027E-2</v>
      </c>
      <c r="T39" s="365">
        <f t="shared" si="13"/>
        <v>1167.660000000001</v>
      </c>
      <c r="AD39" s="12" t="s">
        <v>115</v>
      </c>
      <c r="AE39" s="375">
        <v>24000</v>
      </c>
      <c r="AF39" s="369">
        <f>AE39/115000</f>
        <v>0.20869565217391303</v>
      </c>
      <c r="AG39" s="375">
        <f>AF39*5000</f>
        <v>1043.4782608695652</v>
      </c>
      <c r="AH39" s="375">
        <f>AF39*60000</f>
        <v>12521.739130434782</v>
      </c>
      <c r="AI39" s="375">
        <f>AF39*(22000+14000)</f>
        <v>7513.0434782608691</v>
      </c>
      <c r="AJ39" s="24">
        <f>AF39*14000</f>
        <v>2921.7391304347825</v>
      </c>
      <c r="BB39" s="264"/>
      <c r="BC39" s="264"/>
      <c r="BD39" s="264"/>
      <c r="BE39" s="264"/>
      <c r="BF39" s="264"/>
      <c r="BG39" s="264"/>
      <c r="BH39" s="264"/>
      <c r="BI39" s="264"/>
      <c r="BJ39" s="264"/>
      <c r="BK39" s="264"/>
      <c r="BL39" s="264"/>
      <c r="BM39" s="264"/>
      <c r="BN39" s="264"/>
      <c r="BO39" s="264"/>
      <c r="BP39" s="265"/>
      <c r="BQ39" s="265"/>
      <c r="BR39" s="265"/>
      <c r="BS39" s="265"/>
      <c r="BT39" s="265"/>
      <c r="BU39" s="265"/>
      <c r="BV39" s="265"/>
      <c r="BW39" s="265"/>
      <c r="BX39" s="265"/>
      <c r="BY39" s="265"/>
      <c r="BZ39" s="265"/>
      <c r="CA39" s="265"/>
      <c r="CB39" s="265"/>
      <c r="CC39" s="265"/>
      <c r="CD39" s="265"/>
      <c r="CE39" s="266"/>
      <c r="CF39" s="266"/>
      <c r="CG39" s="266"/>
      <c r="CH39" s="266"/>
      <c r="CI39" s="266"/>
      <c r="CJ39" s="266"/>
      <c r="CK39" s="266"/>
      <c r="CL39" s="266"/>
      <c r="CM39" s="266"/>
      <c r="CN39" s="266"/>
      <c r="CO39" s="266"/>
      <c r="CP39" s="266"/>
      <c r="CQ39" s="266"/>
      <c r="CR39" s="266"/>
      <c r="CS39" s="266"/>
      <c r="CT39" s="267"/>
      <c r="CU39" s="267"/>
      <c r="CV39" s="267"/>
      <c r="CW39" s="267"/>
      <c r="CX39" s="267"/>
      <c r="CY39" s="267"/>
      <c r="CZ39" s="267"/>
      <c r="DA39" s="267"/>
      <c r="DB39" s="267"/>
      <c r="DC39" s="267"/>
      <c r="DD39" s="267"/>
      <c r="DE39" s="267"/>
      <c r="DF39" s="267"/>
      <c r="DG39" s="267"/>
      <c r="DH39" s="267"/>
      <c r="DI39" s="267"/>
      <c r="DJ39" s="268"/>
      <c r="DK39" s="268"/>
      <c r="DL39" s="268"/>
      <c r="DM39" s="268"/>
      <c r="DN39" s="268"/>
      <c r="DO39" s="268"/>
      <c r="DP39" s="268"/>
      <c r="DQ39" s="268"/>
      <c r="DR39" s="268"/>
      <c r="DS39" s="268"/>
      <c r="DT39" s="268"/>
      <c r="DU39" s="268"/>
      <c r="DV39" s="268"/>
      <c r="DW39" s="268"/>
    </row>
    <row r="40" spans="1:127" ht="12.75">
      <c r="A40" s="267" t="s">
        <v>71</v>
      </c>
      <c r="B40" s="331">
        <f t="shared" si="4"/>
        <v>0.18921243316515529</v>
      </c>
      <c r="C40" s="331">
        <f t="shared" si="5"/>
        <v>0.53852769439313419</v>
      </c>
      <c r="D40" s="331">
        <f t="shared" si="6"/>
        <v>0.1361299362208552</v>
      </c>
      <c r="E40" s="331">
        <f t="shared" si="7"/>
        <v>0.1361299362208552</v>
      </c>
      <c r="F40" s="331"/>
      <c r="G40" s="381">
        <f t="shared" si="9"/>
        <v>1</v>
      </c>
      <c r="M40" s="11">
        <v>6</v>
      </c>
      <c r="N40" s="365">
        <v>16531</v>
      </c>
      <c r="O40" s="27">
        <v>0.78</v>
      </c>
      <c r="P40" s="365">
        <f t="shared" si="10"/>
        <v>12894.18</v>
      </c>
      <c r="Q40" s="377">
        <f>0.97-O40</f>
        <v>0.18999999999999995</v>
      </c>
      <c r="R40" s="365">
        <f t="shared" si="11"/>
        <v>3140.889999999999</v>
      </c>
      <c r="S40" s="377">
        <f t="shared" si="12"/>
        <v>3.0000000000000027E-2</v>
      </c>
      <c r="T40" s="365">
        <f t="shared" si="13"/>
        <v>495.93000000000046</v>
      </c>
      <c r="BB40" s="264"/>
      <c r="BC40" s="264"/>
      <c r="BD40" s="264"/>
      <c r="BE40" s="264"/>
      <c r="BF40" s="264"/>
      <c r="BG40" s="264"/>
      <c r="BH40" s="264"/>
      <c r="BI40" s="264"/>
      <c r="BJ40" s="264"/>
      <c r="BK40" s="264"/>
      <c r="BL40" s="264"/>
      <c r="BM40" s="264"/>
      <c r="BN40" s="264"/>
      <c r="BO40" s="264"/>
      <c r="BP40" s="265"/>
      <c r="BQ40" s="265"/>
      <c r="BR40" s="265"/>
      <c r="BS40" s="265"/>
      <c r="BT40" s="265"/>
      <c r="BU40" s="265"/>
      <c r="BV40" s="265"/>
      <c r="BW40" s="265"/>
      <c r="BX40" s="265"/>
      <c r="BY40" s="265"/>
      <c r="BZ40" s="265"/>
      <c r="CA40" s="265"/>
      <c r="CB40" s="265"/>
      <c r="CC40" s="265"/>
      <c r="CD40" s="265"/>
      <c r="CE40" s="266"/>
      <c r="CF40" s="266"/>
      <c r="CG40" s="266"/>
      <c r="CH40" s="266"/>
      <c r="CI40" s="266"/>
      <c r="CJ40" s="266"/>
      <c r="CK40" s="266"/>
      <c r="CL40" s="266"/>
      <c r="CM40" s="266"/>
      <c r="CN40" s="266"/>
      <c r="CO40" s="266"/>
      <c r="CP40" s="266"/>
      <c r="CQ40" s="266"/>
      <c r="CR40" s="266"/>
      <c r="CS40" s="266"/>
      <c r="CT40" s="267"/>
      <c r="CU40" s="267"/>
      <c r="CV40" s="267"/>
      <c r="CW40" s="267"/>
      <c r="CX40" s="267"/>
      <c r="CY40" s="267"/>
      <c r="CZ40" s="267"/>
      <c r="DA40" s="267"/>
      <c r="DB40" s="267"/>
      <c r="DC40" s="267"/>
      <c r="DD40" s="267"/>
      <c r="DE40" s="267"/>
      <c r="DF40" s="267"/>
      <c r="DG40" s="267"/>
      <c r="DH40" s="267"/>
      <c r="DI40" s="267"/>
      <c r="DJ40" s="268"/>
      <c r="DK40" s="268"/>
      <c r="DL40" s="268"/>
      <c r="DM40" s="268"/>
      <c r="DN40" s="268"/>
      <c r="DO40" s="268"/>
      <c r="DP40" s="268"/>
      <c r="DQ40" s="268"/>
      <c r="DR40" s="268"/>
      <c r="DS40" s="268"/>
      <c r="DT40" s="268"/>
      <c r="DU40" s="268"/>
      <c r="DV40" s="268"/>
      <c r="DW40" s="268"/>
    </row>
    <row r="41" spans="1:127" ht="12.75">
      <c r="AR41" s="13" t="s">
        <v>105</v>
      </c>
      <c r="AS41" s="13">
        <v>46</v>
      </c>
      <c r="AT41" s="373">
        <f t="shared" ref="AT41:AT42" si="14">AS41/$AS$44</f>
        <v>0.75409836065573765</v>
      </c>
      <c r="BB41" s="264"/>
      <c r="BC41" s="264"/>
      <c r="BD41" s="264"/>
      <c r="BE41" s="264"/>
      <c r="BF41" s="264"/>
      <c r="BG41" s="264"/>
      <c r="BH41" s="264"/>
      <c r="BI41" s="264"/>
      <c r="BJ41" s="264"/>
      <c r="BK41" s="264"/>
      <c r="BL41" s="264"/>
      <c r="BM41" s="264"/>
      <c r="BN41" s="264"/>
      <c r="BO41" s="264"/>
      <c r="BP41" s="15" t="s">
        <v>242</v>
      </c>
      <c r="BQ41" s="265"/>
      <c r="BR41" s="265"/>
      <c r="BS41" s="265"/>
      <c r="BT41" s="265"/>
      <c r="BU41" s="265"/>
      <c r="BV41" s="265"/>
      <c r="BW41" s="265"/>
      <c r="BX41" s="265"/>
      <c r="BY41" s="265"/>
      <c r="BZ41" s="265"/>
      <c r="CA41" s="265"/>
      <c r="CB41" s="265"/>
      <c r="CC41" s="265"/>
      <c r="CD41" s="265"/>
      <c r="CE41" s="266"/>
      <c r="CF41" s="266"/>
      <c r="CG41" s="266"/>
      <c r="CH41" s="266"/>
      <c r="CI41" s="266"/>
      <c r="CJ41" s="266"/>
      <c r="CK41" s="266"/>
      <c r="CL41" s="266"/>
      <c r="CM41" s="266"/>
      <c r="CN41" s="266"/>
      <c r="CO41" s="266"/>
      <c r="CP41" s="266"/>
      <c r="CQ41" s="266"/>
      <c r="CR41" s="266"/>
      <c r="CS41" s="266"/>
      <c r="CT41" s="267"/>
      <c r="CU41" s="267"/>
      <c r="CV41" s="267"/>
      <c r="CW41" s="267"/>
      <c r="CX41" s="267"/>
      <c r="CY41" s="267"/>
      <c r="CZ41" s="267"/>
      <c r="DA41" s="267"/>
      <c r="DB41" s="267"/>
      <c r="DC41" s="267"/>
      <c r="DD41" s="267"/>
      <c r="DE41" s="267"/>
      <c r="DF41" s="267"/>
      <c r="DG41" s="267"/>
      <c r="DH41" s="267"/>
      <c r="DI41" s="267"/>
      <c r="DJ41" s="268"/>
      <c r="DK41" s="268"/>
      <c r="DL41" s="268"/>
      <c r="DM41" s="268"/>
      <c r="DN41" s="268"/>
      <c r="DO41" s="268"/>
      <c r="DP41" s="268"/>
      <c r="DQ41" s="268"/>
      <c r="DR41" s="268"/>
      <c r="DS41" s="268"/>
      <c r="DT41" s="268"/>
      <c r="DU41" s="268"/>
      <c r="DV41" s="268"/>
      <c r="DW41" s="268"/>
    </row>
    <row r="42" spans="1:127" ht="23.25">
      <c r="N42" s="365">
        <f t="shared" ref="N42" si="15">SUM(N36:N40)</f>
        <v>157209</v>
      </c>
      <c r="O42" s="27">
        <f>P42/N42</f>
        <v>0.77080510657786772</v>
      </c>
      <c r="P42" s="365">
        <f>SUM(P36:P40)</f>
        <v>121177.5</v>
      </c>
      <c r="Q42" s="377">
        <f>R42/N42</f>
        <v>0.19147574248293667</v>
      </c>
      <c r="R42" s="365">
        <f>SUM(R36:R40)</f>
        <v>30101.709999999992</v>
      </c>
      <c r="S42" s="377">
        <f>T42/N42</f>
        <v>3.7719150939195624E-2</v>
      </c>
      <c r="T42" s="365">
        <f t="shared" ref="T42" si="16">SUM(T36:T40)</f>
        <v>5929.7900000000045</v>
      </c>
      <c r="AF42" s="12" t="s">
        <v>116</v>
      </c>
      <c r="AG42" s="12" t="s">
        <v>117</v>
      </c>
      <c r="AR42" s="13" t="s">
        <v>75</v>
      </c>
      <c r="AS42" s="13">
        <v>15</v>
      </c>
      <c r="AT42" s="373">
        <f t="shared" si="14"/>
        <v>0.24590163934426229</v>
      </c>
      <c r="BB42" s="264"/>
      <c r="BC42" s="264"/>
      <c r="BD42" s="264"/>
      <c r="BE42" s="264"/>
      <c r="BF42" s="264"/>
      <c r="BG42" s="264"/>
      <c r="BH42" s="264"/>
      <c r="BI42" s="264"/>
      <c r="BJ42" s="264"/>
      <c r="BK42" s="264"/>
      <c r="BL42" s="264"/>
      <c r="BM42" s="264"/>
      <c r="BN42" s="264"/>
      <c r="BO42" s="264"/>
      <c r="BP42" s="265"/>
      <c r="BQ42" s="382" t="s">
        <v>122</v>
      </c>
      <c r="BR42" s="265" t="s">
        <v>73</v>
      </c>
      <c r="BS42" s="265" t="s">
        <v>16</v>
      </c>
      <c r="BT42" s="265"/>
      <c r="BU42" s="265"/>
      <c r="BV42" s="265"/>
      <c r="BW42" s="265"/>
      <c r="BX42" s="265"/>
      <c r="BY42" s="265"/>
      <c r="BZ42" s="265"/>
      <c r="CA42" s="265"/>
      <c r="CB42" s="265"/>
      <c r="CC42" s="265"/>
      <c r="CD42" s="265"/>
      <c r="CE42" s="266"/>
      <c r="CF42" s="266"/>
      <c r="CG42" s="266"/>
      <c r="CH42" s="266"/>
      <c r="CI42" s="266"/>
      <c r="CJ42" s="266"/>
      <c r="CK42" s="266"/>
      <c r="CL42" s="266"/>
      <c r="CM42" s="266"/>
      <c r="CN42" s="266"/>
      <c r="CO42" s="266"/>
      <c r="CP42" s="266"/>
      <c r="CQ42" s="266"/>
      <c r="CR42" s="266"/>
      <c r="CS42" s="266"/>
      <c r="CT42" s="267"/>
      <c r="CU42" s="267"/>
      <c r="CV42" s="267"/>
      <c r="CW42" s="267"/>
      <c r="CX42" s="267"/>
      <c r="CY42" s="267"/>
      <c r="CZ42" s="267"/>
      <c r="DA42" s="267"/>
      <c r="DB42" s="267"/>
      <c r="DC42" s="267"/>
      <c r="DD42" s="267"/>
      <c r="DE42" s="267"/>
      <c r="DF42" s="267"/>
      <c r="DG42" s="267"/>
      <c r="DH42" s="267"/>
      <c r="DI42" s="267"/>
      <c r="DJ42" s="268"/>
      <c r="DK42" s="268"/>
      <c r="DL42" s="268"/>
      <c r="DM42" s="268"/>
      <c r="DN42" s="268"/>
      <c r="DO42" s="268"/>
      <c r="DP42" s="268"/>
      <c r="DQ42" s="268"/>
      <c r="DR42" s="268"/>
      <c r="DS42" s="268"/>
      <c r="DT42" s="268"/>
      <c r="DU42" s="268"/>
      <c r="DV42" s="268"/>
      <c r="DW42" s="268"/>
    </row>
    <row r="43" spans="1:127">
      <c r="M43" s="265" t="s">
        <v>119</v>
      </c>
      <c r="N43" s="349">
        <f>N42+N67</f>
        <v>189141</v>
      </c>
      <c r="O43" s="439">
        <f>P43/N43</f>
        <v>0.64067283137976427</v>
      </c>
      <c r="P43" s="349">
        <f>P42</f>
        <v>121177.5</v>
      </c>
      <c r="Q43" s="383">
        <f>R43/N43</f>
        <v>0.32797600731729237</v>
      </c>
      <c r="R43" s="349">
        <f>R42+N67</f>
        <v>62033.709999999992</v>
      </c>
      <c r="S43" s="383">
        <f>T43/N43</f>
        <v>3.1351161302943333E-2</v>
      </c>
      <c r="T43" s="349">
        <f>T42</f>
        <v>5929.7900000000045</v>
      </c>
      <c r="AF43" s="375">
        <f>AI38</f>
        <v>28486.956521739132</v>
      </c>
      <c r="AG43" s="375">
        <f>AJ38+AE78</f>
        <v>119606.26086956522</v>
      </c>
      <c r="BB43" s="264"/>
      <c r="BC43" s="264"/>
      <c r="BD43" s="264"/>
      <c r="BE43" s="264"/>
      <c r="BF43" s="264"/>
      <c r="BG43" s="264"/>
      <c r="BH43" s="264"/>
      <c r="BI43" s="264"/>
      <c r="BJ43" s="264"/>
      <c r="BK43" s="264"/>
      <c r="BL43" s="264"/>
      <c r="BM43" s="264"/>
      <c r="BN43" s="264"/>
      <c r="BO43" s="264"/>
      <c r="BP43" s="265"/>
      <c r="BQ43" s="265">
        <f>CB22+CB35</f>
        <v>90091</v>
      </c>
      <c r="BR43" s="121">
        <f>(CC22+CC35)/2</f>
        <v>0.05</v>
      </c>
      <c r="BS43" s="121">
        <f>(CD22+CD35)/2</f>
        <v>0.95</v>
      </c>
      <c r="BT43" s="265"/>
      <c r="BU43" s="265"/>
      <c r="BV43" s="265"/>
      <c r="BW43" s="265"/>
      <c r="BX43" s="265"/>
      <c r="BY43" s="265"/>
      <c r="BZ43" s="265"/>
      <c r="CA43" s="265"/>
      <c r="CB43" s="265"/>
      <c r="CC43" s="265"/>
      <c r="CD43" s="265"/>
      <c r="CE43" s="266"/>
      <c r="CF43" s="266"/>
      <c r="CG43" s="266"/>
      <c r="CH43" s="266"/>
      <c r="CI43" s="266"/>
      <c r="CJ43" s="266"/>
      <c r="CK43" s="266"/>
      <c r="CL43" s="266"/>
      <c r="CM43" s="266"/>
      <c r="CN43" s="266"/>
      <c r="CO43" s="266"/>
      <c r="CP43" s="266"/>
      <c r="CQ43" s="266"/>
      <c r="CR43" s="266"/>
      <c r="CS43" s="266"/>
      <c r="CT43" s="267"/>
      <c r="CU43" s="267"/>
      <c r="CV43" s="267"/>
      <c r="CW43" s="267"/>
      <c r="CX43" s="267"/>
      <c r="CY43" s="267"/>
      <c r="CZ43" s="267"/>
      <c r="DA43" s="267"/>
      <c r="DB43" s="267"/>
      <c r="DC43" s="267"/>
      <c r="DD43" s="267"/>
      <c r="DE43" s="267"/>
      <c r="DF43" s="267"/>
      <c r="DG43" s="267"/>
      <c r="DH43" s="267"/>
      <c r="DI43" s="267"/>
      <c r="DJ43" s="268"/>
      <c r="DK43" s="268"/>
      <c r="DL43" s="268"/>
      <c r="DM43" s="268"/>
      <c r="DN43" s="268"/>
      <c r="DO43" s="268"/>
      <c r="DP43" s="268"/>
      <c r="DQ43" s="268"/>
      <c r="DR43" s="268"/>
      <c r="DS43" s="268"/>
      <c r="DT43" s="268"/>
      <c r="DU43" s="268"/>
      <c r="DV43" s="268"/>
      <c r="DW43" s="268"/>
    </row>
    <row r="44" spans="1:127">
      <c r="AR44" s="13" t="s">
        <v>3</v>
      </c>
      <c r="AS44" s="13">
        <f>SUM(AS39:AS42)</f>
        <v>61</v>
      </c>
      <c r="BB44" s="264"/>
      <c r="BC44" s="264"/>
      <c r="BD44" s="264"/>
      <c r="BE44" s="264"/>
      <c r="BF44" s="264"/>
      <c r="BG44" s="264"/>
      <c r="BH44" s="264"/>
      <c r="BI44" s="264"/>
      <c r="BJ44" s="264"/>
      <c r="BK44" s="264"/>
      <c r="BL44" s="264"/>
      <c r="BM44" s="264"/>
      <c r="BN44" s="264"/>
      <c r="BO44" s="264"/>
      <c r="BP44" s="265"/>
      <c r="BQ44" s="265"/>
      <c r="BR44" s="265"/>
      <c r="BS44" s="265"/>
      <c r="BT44" s="265"/>
      <c r="BU44" s="265"/>
      <c r="BV44" s="265"/>
      <c r="BW44" s="265"/>
      <c r="BX44" s="265"/>
      <c r="BY44" s="265"/>
      <c r="BZ44" s="265"/>
      <c r="CA44" s="265"/>
      <c r="CB44" s="265"/>
      <c r="CC44" s="265"/>
      <c r="CD44" s="265"/>
      <c r="CE44" s="266"/>
      <c r="CF44" s="266"/>
      <c r="CG44" s="266"/>
      <c r="CH44" s="266"/>
      <c r="CI44" s="266"/>
      <c r="CJ44" s="266"/>
      <c r="CK44" s="266"/>
      <c r="CL44" s="266"/>
      <c r="CM44" s="266"/>
      <c r="CN44" s="266"/>
      <c r="CO44" s="266"/>
      <c r="CP44" s="266"/>
      <c r="CQ44" s="266"/>
      <c r="CR44" s="266"/>
      <c r="CS44" s="266"/>
      <c r="CT44" s="267"/>
      <c r="CU44" s="267"/>
      <c r="CV44" s="267"/>
      <c r="CW44" s="267"/>
      <c r="CX44" s="267"/>
      <c r="CY44" s="267"/>
      <c r="CZ44" s="267"/>
      <c r="DA44" s="267"/>
      <c r="DB44" s="267"/>
      <c r="DC44" s="267"/>
      <c r="DD44" s="267"/>
      <c r="DE44" s="267"/>
      <c r="DF44" s="267"/>
      <c r="DG44" s="267"/>
      <c r="DH44" s="267"/>
      <c r="DI44" s="267"/>
      <c r="DJ44" s="268"/>
      <c r="DK44" s="268"/>
      <c r="DL44" s="268"/>
      <c r="DM44" s="268"/>
      <c r="DN44" s="268"/>
      <c r="DO44" s="268"/>
      <c r="DP44" s="268"/>
      <c r="DQ44" s="268"/>
      <c r="DR44" s="268"/>
      <c r="DS44" s="268"/>
      <c r="DT44" s="268"/>
      <c r="DU44" s="268"/>
      <c r="DV44" s="268"/>
      <c r="DW44" s="268"/>
    </row>
    <row r="45" spans="1:127">
      <c r="BB45" s="264"/>
      <c r="BC45" s="264"/>
      <c r="BD45" s="264"/>
      <c r="BE45" s="264"/>
      <c r="BF45" s="264"/>
      <c r="BG45" s="264"/>
      <c r="BH45" s="264"/>
      <c r="BI45" s="264"/>
      <c r="BJ45" s="264"/>
      <c r="BK45" s="264"/>
      <c r="BL45" s="264"/>
      <c r="BM45" s="264"/>
      <c r="BN45" s="264"/>
      <c r="BO45" s="264"/>
      <c r="BP45" s="265"/>
      <c r="BQ45" s="265"/>
      <c r="BR45" s="265"/>
      <c r="BS45" s="265"/>
      <c r="BT45" s="265"/>
      <c r="BU45" s="265"/>
      <c r="BV45" s="265"/>
      <c r="BW45" s="265"/>
      <c r="BX45" s="265"/>
      <c r="BY45" s="265"/>
      <c r="BZ45" s="265"/>
      <c r="CA45" s="265"/>
      <c r="CB45" s="265"/>
      <c r="CC45" s="265"/>
      <c r="CD45" s="265"/>
      <c r="CE45" s="266"/>
      <c r="CF45" s="266"/>
      <c r="CG45" s="266"/>
      <c r="CH45" s="266"/>
      <c r="CI45" s="266"/>
      <c r="CJ45" s="266"/>
      <c r="CK45" s="266"/>
      <c r="CL45" s="266"/>
      <c r="CM45" s="266"/>
      <c r="CN45" s="266"/>
      <c r="CO45" s="266"/>
      <c r="CP45" s="266"/>
      <c r="CQ45" s="266"/>
      <c r="CR45" s="266"/>
      <c r="CS45" s="266"/>
      <c r="CT45" s="267"/>
      <c r="CU45" s="267"/>
      <c r="CV45" s="267"/>
      <c r="CW45" s="267"/>
      <c r="CX45" s="267"/>
      <c r="CY45" s="267"/>
      <c r="CZ45" s="267"/>
      <c r="DA45" s="267"/>
      <c r="DB45" s="267"/>
      <c r="DC45" s="267"/>
      <c r="DD45" s="267"/>
      <c r="DE45" s="267"/>
      <c r="DF45" s="267"/>
      <c r="DG45" s="267"/>
      <c r="DH45" s="267"/>
      <c r="DI45" s="267"/>
      <c r="DJ45" s="268"/>
      <c r="DK45" s="268"/>
      <c r="DL45" s="268"/>
      <c r="DM45" s="268"/>
      <c r="DN45" s="268"/>
      <c r="DO45" s="268"/>
      <c r="DP45" s="268"/>
      <c r="DQ45" s="268"/>
      <c r="DR45" s="268"/>
      <c r="DS45" s="268"/>
      <c r="DT45" s="268"/>
      <c r="DU45" s="268"/>
      <c r="DV45" s="268"/>
      <c r="DW45" s="268"/>
    </row>
    <row r="46" spans="1:127">
      <c r="M46" s="11" t="s">
        <v>249</v>
      </c>
      <c r="BB46" s="264"/>
      <c r="BC46" s="264"/>
      <c r="BD46" s="264"/>
      <c r="BE46" s="264"/>
      <c r="BF46" s="264"/>
      <c r="BG46" s="264"/>
      <c r="BH46" s="264"/>
      <c r="BI46" s="264"/>
      <c r="BJ46" s="264"/>
      <c r="BK46" s="264"/>
      <c r="BL46" s="264"/>
      <c r="BM46" s="264"/>
      <c r="BN46" s="264"/>
      <c r="BO46" s="264"/>
      <c r="BP46" s="265"/>
      <c r="BQ46" s="265"/>
      <c r="BR46" s="265"/>
      <c r="BS46" s="265"/>
      <c r="BT46" s="265"/>
      <c r="BU46" s="265"/>
      <c r="BV46" s="265"/>
      <c r="BW46" s="265"/>
      <c r="BX46" s="265"/>
      <c r="BY46" s="265"/>
      <c r="BZ46" s="265"/>
      <c r="CA46" s="265"/>
      <c r="CB46" s="265"/>
      <c r="CC46" s="265"/>
      <c r="CD46" s="265"/>
      <c r="CE46" s="266"/>
      <c r="CF46" s="266"/>
      <c r="CG46" s="266"/>
      <c r="CH46" s="266"/>
      <c r="CI46" s="266"/>
      <c r="CJ46" s="266"/>
      <c r="CK46" s="266"/>
      <c r="CL46" s="266"/>
      <c r="CM46" s="266"/>
      <c r="CN46" s="266"/>
      <c r="CO46" s="266"/>
      <c r="CP46" s="266"/>
      <c r="CQ46" s="266"/>
      <c r="CR46" s="266"/>
      <c r="CS46" s="266"/>
      <c r="CT46" s="267"/>
      <c r="CU46" s="267"/>
      <c r="CV46" s="267"/>
      <c r="CW46" s="267"/>
      <c r="CX46" s="267"/>
      <c r="CY46" s="267"/>
      <c r="CZ46" s="267"/>
      <c r="DA46" s="267"/>
      <c r="DB46" s="267"/>
      <c r="DC46" s="267"/>
      <c r="DD46" s="267"/>
      <c r="DE46" s="267"/>
      <c r="DF46" s="267"/>
      <c r="DG46" s="267"/>
      <c r="DH46" s="267"/>
      <c r="DI46" s="267"/>
      <c r="DJ46" s="268"/>
      <c r="DK46" s="268"/>
      <c r="DL46" s="268"/>
      <c r="DM46" s="268"/>
      <c r="DN46" s="268"/>
      <c r="DO46" s="268"/>
      <c r="DP46" s="268"/>
      <c r="DQ46" s="268"/>
      <c r="DR46" s="268"/>
      <c r="DS46" s="268"/>
      <c r="DT46" s="268"/>
      <c r="DU46" s="268"/>
      <c r="DV46" s="268"/>
      <c r="DW46" s="268"/>
    </row>
    <row r="47" spans="1:127">
      <c r="M47" s="364" t="s">
        <v>81</v>
      </c>
      <c r="BB47" s="264"/>
      <c r="BC47" s="264"/>
      <c r="BD47" s="264"/>
      <c r="BE47" s="264"/>
      <c r="BF47" s="264"/>
      <c r="BG47" s="264"/>
      <c r="BH47" s="264"/>
      <c r="BI47" s="264"/>
      <c r="BJ47" s="264"/>
      <c r="BK47" s="264"/>
      <c r="BL47" s="264"/>
      <c r="BM47" s="264"/>
      <c r="BN47" s="264"/>
      <c r="BO47" s="264"/>
      <c r="BP47" s="265"/>
      <c r="BQ47" s="265"/>
      <c r="BR47" s="265"/>
      <c r="BS47" s="265"/>
      <c r="BT47" s="265"/>
      <c r="BU47" s="265"/>
      <c r="BV47" s="265"/>
      <c r="BW47" s="265"/>
      <c r="BX47" s="265"/>
      <c r="BY47" s="265"/>
      <c r="BZ47" s="265"/>
      <c r="CA47" s="265"/>
      <c r="CB47" s="265"/>
      <c r="CC47" s="265"/>
      <c r="CD47" s="265"/>
      <c r="CE47" s="266"/>
      <c r="CF47" s="266"/>
      <c r="CG47" s="266"/>
      <c r="CH47" s="266"/>
      <c r="CI47" s="266"/>
      <c r="CJ47" s="266"/>
      <c r="CK47" s="266"/>
      <c r="CL47" s="266"/>
      <c r="CM47" s="266"/>
      <c r="CN47" s="266"/>
      <c r="CO47" s="266"/>
      <c r="CP47" s="266"/>
      <c r="CQ47" s="266"/>
      <c r="CR47" s="266"/>
      <c r="CS47" s="266"/>
      <c r="CT47" s="267"/>
      <c r="CU47" s="267"/>
      <c r="CV47" s="267"/>
      <c r="CW47" s="267"/>
      <c r="CX47" s="267"/>
      <c r="CY47" s="267"/>
      <c r="CZ47" s="267"/>
      <c r="DA47" s="267"/>
      <c r="DB47" s="267"/>
      <c r="DC47" s="267"/>
      <c r="DD47" s="267"/>
      <c r="DE47" s="267"/>
      <c r="DF47" s="267"/>
      <c r="DG47" s="267"/>
      <c r="DH47" s="267"/>
      <c r="DI47" s="267"/>
      <c r="DJ47" s="268"/>
      <c r="DK47" s="268"/>
      <c r="DL47" s="268"/>
      <c r="DM47" s="268"/>
      <c r="DN47" s="268"/>
      <c r="DO47" s="268"/>
      <c r="DP47" s="268"/>
      <c r="DQ47" s="268"/>
      <c r="DR47" s="268"/>
      <c r="DS47" s="268"/>
      <c r="DT47" s="268"/>
      <c r="DU47" s="268"/>
      <c r="DV47" s="268"/>
      <c r="DW47" s="268"/>
    </row>
    <row r="48" spans="1:127">
      <c r="M48" s="11" t="s">
        <v>236</v>
      </c>
      <c r="Q48" s="11">
        <v>2661000</v>
      </c>
      <c r="R48" s="11" t="s">
        <v>84</v>
      </c>
      <c r="BB48" s="264"/>
      <c r="BC48" s="264"/>
      <c r="BD48" s="264"/>
      <c r="BE48" s="264"/>
      <c r="BF48" s="264"/>
      <c r="BG48" s="264"/>
      <c r="BH48" s="264"/>
      <c r="BI48" s="264"/>
      <c r="BJ48" s="264"/>
      <c r="BK48" s="264"/>
      <c r="BL48" s="264"/>
      <c r="BM48" s="264"/>
      <c r="BN48" s="264"/>
      <c r="BO48" s="264"/>
      <c r="BP48" s="265"/>
      <c r="BQ48" s="265"/>
      <c r="BR48" s="265"/>
      <c r="BS48" s="265"/>
      <c r="BT48" s="265"/>
      <c r="BU48" s="265"/>
      <c r="BV48" s="265"/>
      <c r="BW48" s="265"/>
      <c r="BX48" s="265"/>
      <c r="BY48" s="265"/>
      <c r="BZ48" s="265"/>
      <c r="CA48" s="265"/>
      <c r="CB48" s="265"/>
      <c r="CC48" s="265"/>
      <c r="CD48" s="265"/>
      <c r="CE48" s="266"/>
      <c r="CF48" s="266"/>
      <c r="CG48" s="266"/>
      <c r="CH48" s="266"/>
      <c r="CI48" s="266"/>
      <c r="CJ48" s="266"/>
      <c r="CK48" s="266"/>
      <c r="CL48" s="266"/>
      <c r="CM48" s="266"/>
      <c r="CN48" s="266"/>
      <c r="CO48" s="266"/>
      <c r="CP48" s="266"/>
      <c r="CQ48" s="266"/>
      <c r="CR48" s="266"/>
      <c r="CS48" s="266"/>
      <c r="CT48" s="267"/>
      <c r="CU48" s="267"/>
      <c r="CV48" s="267"/>
      <c r="CW48" s="267"/>
      <c r="CX48" s="267"/>
      <c r="CY48" s="267"/>
      <c r="CZ48" s="267"/>
      <c r="DA48" s="267"/>
      <c r="DB48" s="267"/>
      <c r="DC48" s="267"/>
      <c r="DD48" s="267"/>
      <c r="DE48" s="267"/>
      <c r="DF48" s="267"/>
      <c r="DG48" s="267"/>
      <c r="DH48" s="267"/>
      <c r="DI48" s="267"/>
      <c r="DJ48" s="268"/>
      <c r="DK48" s="268"/>
      <c r="DL48" s="268"/>
      <c r="DM48" s="268"/>
      <c r="DN48" s="268"/>
      <c r="DO48" s="268"/>
      <c r="DP48" s="268"/>
      <c r="DQ48" s="268"/>
      <c r="DR48" s="268"/>
      <c r="DS48" s="268"/>
      <c r="DT48" s="268"/>
      <c r="DU48" s="268"/>
      <c r="DV48" s="268"/>
      <c r="DW48" s="268"/>
    </row>
    <row r="49" spans="1:127" ht="12.75">
      <c r="AF49" s="369">
        <f>AF43/SUM(AF43:AG43)</f>
        <v>0.19235827962646324</v>
      </c>
      <c r="AG49" s="369">
        <f>AG43/SUM(AF43:AG43)</f>
        <v>0.80764172037353676</v>
      </c>
      <c r="AI49" s="25"/>
      <c r="BB49" s="264"/>
      <c r="BC49" s="264"/>
      <c r="BD49" s="264"/>
      <c r="BE49" s="264"/>
      <c r="BF49" s="264"/>
      <c r="BG49" s="264"/>
      <c r="BH49" s="264"/>
      <c r="BI49" s="264"/>
      <c r="BJ49" s="264"/>
      <c r="BK49" s="264"/>
      <c r="BL49" s="264"/>
      <c r="BM49" s="264"/>
      <c r="BN49" s="264"/>
      <c r="BO49" s="264"/>
      <c r="BP49" s="265"/>
      <c r="BQ49" s="265"/>
      <c r="BR49" s="265"/>
      <c r="BS49" s="265"/>
      <c r="BT49" s="265"/>
      <c r="BU49" s="265"/>
      <c r="BV49" s="265"/>
      <c r="BW49" s="265"/>
      <c r="BX49" s="265"/>
      <c r="BY49" s="265"/>
      <c r="BZ49" s="265"/>
      <c r="CA49" s="265"/>
      <c r="CB49" s="265"/>
      <c r="CC49" s="265"/>
      <c r="CD49" s="265"/>
      <c r="CE49" s="266"/>
      <c r="CF49" s="266"/>
      <c r="CG49" s="266"/>
      <c r="CH49" s="266"/>
      <c r="CI49" s="266"/>
      <c r="CJ49" s="266"/>
      <c r="CK49" s="266"/>
      <c r="CL49" s="266"/>
      <c r="CM49" s="266"/>
      <c r="CN49" s="266"/>
      <c r="CO49" s="266"/>
      <c r="CP49" s="266"/>
      <c r="CQ49" s="266"/>
      <c r="CR49" s="266"/>
      <c r="CS49" s="266"/>
      <c r="CT49" s="267"/>
      <c r="CU49" s="267"/>
      <c r="CV49" s="267"/>
      <c r="CW49" s="267"/>
      <c r="CX49" s="267"/>
      <c r="CY49" s="267"/>
      <c r="CZ49" s="267"/>
      <c r="DA49" s="267"/>
      <c r="DB49" s="267"/>
      <c r="DC49" s="267"/>
      <c r="DD49" s="267"/>
      <c r="DE49" s="267"/>
      <c r="DF49" s="267"/>
      <c r="DG49" s="267"/>
      <c r="DH49" s="267"/>
      <c r="DI49" s="267"/>
      <c r="DJ49" s="268"/>
      <c r="DK49" s="268"/>
      <c r="DL49" s="268"/>
      <c r="DM49" s="268"/>
      <c r="DN49" s="268"/>
      <c r="DO49" s="268"/>
      <c r="DP49" s="268"/>
      <c r="DQ49" s="268"/>
      <c r="DR49" s="268"/>
      <c r="DS49" s="268"/>
      <c r="DT49" s="268"/>
      <c r="DU49" s="268"/>
      <c r="DV49" s="268"/>
      <c r="DW49" s="268"/>
    </row>
    <row r="50" spans="1:127">
      <c r="A50" s="26"/>
      <c r="F50" s="26"/>
      <c r="M50" s="11" t="s">
        <v>120</v>
      </c>
      <c r="AI50" s="25"/>
      <c r="BB50" s="264"/>
      <c r="BC50" s="264"/>
      <c r="BD50" s="264"/>
      <c r="BE50" s="264"/>
      <c r="BF50" s="264"/>
      <c r="BG50" s="264"/>
      <c r="BH50" s="264"/>
      <c r="BI50" s="264"/>
      <c r="BJ50" s="264"/>
      <c r="BK50" s="264"/>
      <c r="BL50" s="264"/>
      <c r="BM50" s="264"/>
      <c r="BN50" s="264"/>
      <c r="BO50" s="264"/>
      <c r="BP50" s="265"/>
      <c r="BQ50" s="265"/>
      <c r="BR50" s="265"/>
      <c r="BS50" s="265"/>
      <c r="BT50" s="265"/>
      <c r="BU50" s="265"/>
      <c r="BV50" s="265"/>
      <c r="BW50" s="265"/>
      <c r="BX50" s="265"/>
      <c r="BY50" s="265"/>
      <c r="BZ50" s="265"/>
      <c r="CA50" s="265"/>
      <c r="CB50" s="265"/>
      <c r="CC50" s="265"/>
      <c r="CD50" s="265"/>
      <c r="CE50" s="266"/>
      <c r="CF50" s="266"/>
      <c r="CG50" s="266"/>
      <c r="CH50" s="266"/>
      <c r="CI50" s="266"/>
      <c r="CJ50" s="266"/>
      <c r="CK50" s="266"/>
      <c r="CL50" s="266"/>
      <c r="CM50" s="266"/>
      <c r="CN50" s="266"/>
      <c r="CO50" s="266"/>
      <c r="CP50" s="266"/>
      <c r="CQ50" s="266"/>
      <c r="CR50" s="266"/>
      <c r="CS50" s="266"/>
      <c r="CT50" s="267"/>
      <c r="CU50" s="267"/>
      <c r="CV50" s="267"/>
      <c r="CW50" s="267"/>
      <c r="CX50" s="267"/>
      <c r="CY50" s="267"/>
      <c r="CZ50" s="267"/>
      <c r="DA50" s="267"/>
      <c r="DB50" s="267"/>
      <c r="DC50" s="267"/>
      <c r="DD50" s="267"/>
      <c r="DE50" s="267"/>
      <c r="DF50" s="267"/>
      <c r="DG50" s="267"/>
      <c r="DH50" s="267"/>
      <c r="DI50" s="267"/>
      <c r="DJ50" s="268"/>
      <c r="DK50" s="268"/>
      <c r="DL50" s="268"/>
      <c r="DM50" s="268"/>
      <c r="DN50" s="268"/>
      <c r="DO50" s="268"/>
      <c r="DP50" s="268"/>
      <c r="DQ50" s="268"/>
      <c r="DR50" s="268"/>
      <c r="DS50" s="268"/>
      <c r="DT50" s="268"/>
      <c r="DU50" s="268"/>
      <c r="DV50" s="268"/>
      <c r="DW50" s="268"/>
    </row>
    <row r="51" spans="1:127">
      <c r="M51" s="364" t="s">
        <v>121</v>
      </c>
      <c r="BB51" s="14"/>
      <c r="BC51" s="264"/>
      <c r="BD51" s="264"/>
      <c r="BE51" s="264"/>
      <c r="BF51" s="264"/>
      <c r="BG51" s="264"/>
      <c r="BH51" s="264"/>
      <c r="BI51" s="264"/>
      <c r="BJ51" s="264"/>
      <c r="BK51" s="264"/>
      <c r="BL51" s="264"/>
      <c r="BM51" s="264"/>
      <c r="BN51" s="264"/>
      <c r="BO51" s="264"/>
      <c r="BP51" s="265"/>
      <c r="BQ51" s="265"/>
      <c r="BR51" s="265"/>
      <c r="BS51" s="265"/>
      <c r="BT51" s="265"/>
      <c r="BU51" s="265"/>
      <c r="BV51" s="265"/>
      <c r="BW51" s="265"/>
      <c r="BX51" s="265"/>
      <c r="BY51" s="265"/>
      <c r="BZ51" s="265"/>
      <c r="CA51" s="265"/>
      <c r="CB51" s="265"/>
      <c r="CC51" s="265"/>
      <c r="CD51" s="265"/>
      <c r="CE51" s="266"/>
      <c r="CF51" s="266"/>
      <c r="CG51" s="266"/>
      <c r="CH51" s="266"/>
      <c r="CI51" s="266"/>
      <c r="CJ51" s="266"/>
      <c r="CK51" s="266"/>
      <c r="CL51" s="266"/>
      <c r="CM51" s="266"/>
      <c r="CN51" s="266"/>
      <c r="CO51" s="266"/>
      <c r="CP51" s="266"/>
      <c r="CQ51" s="266"/>
      <c r="CR51" s="266"/>
      <c r="CS51" s="266"/>
      <c r="CT51" s="267"/>
      <c r="CU51" s="267"/>
      <c r="CV51" s="267"/>
      <c r="CW51" s="267"/>
      <c r="CX51" s="267"/>
      <c r="CY51" s="267"/>
      <c r="CZ51" s="267"/>
      <c r="DA51" s="267"/>
      <c r="DB51" s="267"/>
      <c r="DC51" s="267"/>
      <c r="DD51" s="267"/>
      <c r="DE51" s="267"/>
      <c r="DF51" s="267"/>
      <c r="DG51" s="267"/>
      <c r="DH51" s="267"/>
      <c r="DI51" s="267"/>
      <c r="DJ51" s="268"/>
      <c r="DK51" s="268"/>
      <c r="DL51" s="268"/>
      <c r="DM51" s="268"/>
      <c r="DN51" s="268"/>
      <c r="DO51" s="268"/>
      <c r="DP51" s="268"/>
      <c r="DQ51" s="268"/>
      <c r="DR51" s="268"/>
      <c r="DS51" s="268"/>
      <c r="DT51" s="268"/>
      <c r="DU51" s="268"/>
      <c r="DV51" s="268"/>
      <c r="DW51" s="268"/>
    </row>
    <row r="52" spans="1:127">
      <c r="BB52" s="18"/>
      <c r="BC52" s="264"/>
      <c r="BD52" s="264"/>
      <c r="BE52" s="264"/>
      <c r="BF52" s="264"/>
      <c r="BG52" s="264"/>
      <c r="BH52" s="264"/>
      <c r="BI52" s="264"/>
      <c r="BJ52" s="264"/>
      <c r="BK52" s="264"/>
      <c r="BL52" s="264"/>
      <c r="BM52" s="264"/>
      <c r="BN52" s="264"/>
      <c r="BO52" s="264"/>
      <c r="BP52" s="265"/>
      <c r="BQ52" s="265"/>
      <c r="BR52" s="265"/>
      <c r="BS52" s="265"/>
      <c r="BT52" s="265"/>
      <c r="BU52" s="265"/>
      <c r="BV52" s="265"/>
      <c r="BW52" s="265"/>
      <c r="BX52" s="265"/>
      <c r="BY52" s="265"/>
      <c r="BZ52" s="265"/>
      <c r="CA52" s="265"/>
      <c r="CB52" s="265"/>
      <c r="CC52" s="265"/>
      <c r="CD52" s="265"/>
      <c r="CE52" s="266"/>
      <c r="CF52" s="266"/>
      <c r="CG52" s="266"/>
      <c r="CH52" s="266"/>
      <c r="CI52" s="266"/>
      <c r="CJ52" s="266"/>
      <c r="CK52" s="266"/>
      <c r="CL52" s="266"/>
      <c r="CM52" s="266"/>
      <c r="CN52" s="266"/>
      <c r="CO52" s="266"/>
      <c r="CP52" s="266"/>
      <c r="CQ52" s="266"/>
      <c r="CR52" s="266"/>
      <c r="CS52" s="266"/>
      <c r="CT52" s="267"/>
      <c r="CU52" s="267"/>
      <c r="CV52" s="267"/>
      <c r="CW52" s="267"/>
      <c r="CX52" s="267"/>
      <c r="CY52" s="267"/>
      <c r="CZ52" s="267"/>
      <c r="DA52" s="267"/>
      <c r="DB52" s="267"/>
      <c r="DC52" s="267"/>
      <c r="DD52" s="267"/>
      <c r="DE52" s="267"/>
      <c r="DF52" s="267"/>
      <c r="DG52" s="267"/>
      <c r="DH52" s="267"/>
      <c r="DI52" s="267"/>
      <c r="DJ52" s="268"/>
      <c r="DK52" s="268"/>
      <c r="DL52" s="268"/>
      <c r="DM52" s="268"/>
      <c r="DN52" s="268"/>
      <c r="DO52" s="268"/>
      <c r="DP52" s="268"/>
      <c r="DQ52" s="268"/>
      <c r="DR52" s="268"/>
      <c r="DS52" s="268"/>
      <c r="DT52" s="268"/>
      <c r="DU52" s="268"/>
      <c r="DV52" s="268"/>
      <c r="DW52" s="268"/>
    </row>
    <row r="53" spans="1:127" ht="12.75">
      <c r="O53" s="368"/>
      <c r="BB53" s="18"/>
      <c r="BC53" s="264"/>
      <c r="BD53" s="264"/>
      <c r="BE53" s="264"/>
      <c r="BF53" s="264"/>
      <c r="BG53" s="264"/>
      <c r="BH53" s="264"/>
      <c r="BI53" s="264"/>
      <c r="BJ53" s="264"/>
      <c r="BK53" s="264"/>
      <c r="BL53" s="264"/>
      <c r="BM53" s="264"/>
      <c r="BN53" s="264"/>
      <c r="BO53" s="264"/>
      <c r="BP53" s="15"/>
      <c r="BQ53" s="265"/>
      <c r="BR53" s="265"/>
      <c r="BS53" s="265"/>
      <c r="BT53" s="265"/>
      <c r="BU53" s="265"/>
      <c r="BV53" s="265"/>
      <c r="BW53" s="265"/>
      <c r="BX53" s="265"/>
      <c r="BY53" s="265"/>
      <c r="BZ53" s="265"/>
      <c r="CA53" s="265"/>
      <c r="CB53" s="265"/>
      <c r="CC53" s="265"/>
      <c r="CD53" s="265"/>
      <c r="CE53" s="266"/>
      <c r="CF53" s="266"/>
      <c r="CG53" s="266"/>
      <c r="CH53" s="266"/>
      <c r="CI53" s="266"/>
      <c r="CJ53" s="266"/>
      <c r="CK53" s="266"/>
      <c r="CL53" s="266"/>
      <c r="CM53" s="266"/>
      <c r="CN53" s="266"/>
      <c r="CO53" s="266"/>
      <c r="CP53" s="266"/>
      <c r="CQ53" s="266"/>
      <c r="CR53" s="266"/>
      <c r="CS53" s="266"/>
      <c r="CT53" s="267"/>
      <c r="CU53" s="267"/>
      <c r="CV53" s="267"/>
      <c r="CW53" s="267"/>
      <c r="CX53" s="267"/>
      <c r="CY53" s="267"/>
      <c r="CZ53" s="267"/>
      <c r="DA53" s="267"/>
      <c r="DB53" s="267"/>
      <c r="DC53" s="267"/>
      <c r="DD53" s="267"/>
      <c r="DE53" s="267"/>
      <c r="DF53" s="267"/>
      <c r="DG53" s="267"/>
      <c r="DH53" s="267"/>
      <c r="DI53" s="267"/>
      <c r="DJ53" s="268"/>
      <c r="DK53" s="268"/>
      <c r="DL53" s="268"/>
      <c r="DM53" s="268"/>
      <c r="DN53" s="268"/>
      <c r="DO53" s="268"/>
      <c r="DP53" s="268"/>
      <c r="DQ53" s="268"/>
      <c r="DR53" s="268"/>
      <c r="DS53" s="268"/>
      <c r="DT53" s="268"/>
      <c r="DU53" s="268"/>
      <c r="DV53" s="268"/>
      <c r="DW53" s="268"/>
    </row>
    <row r="54" spans="1:127" ht="18">
      <c r="O54" s="368"/>
      <c r="BB54" s="28"/>
      <c r="BC54" s="264"/>
      <c r="BD54" s="264"/>
      <c r="BE54" s="264"/>
      <c r="BF54" s="264"/>
      <c r="BG54" s="264"/>
      <c r="BH54" s="264"/>
      <c r="BI54" s="264"/>
      <c r="BJ54" s="264"/>
      <c r="BK54" s="264"/>
      <c r="BL54" s="264"/>
      <c r="BM54" s="264"/>
      <c r="BN54" s="264"/>
      <c r="BO54" s="264"/>
      <c r="BP54" s="265"/>
      <c r="BQ54" s="265"/>
      <c r="BR54" s="265"/>
      <c r="BS54" s="265"/>
      <c r="BT54" s="265"/>
      <c r="BU54" s="265"/>
      <c r="BV54" s="265"/>
      <c r="BW54" s="265"/>
      <c r="BX54" s="265"/>
      <c r="BY54" s="265"/>
      <c r="BZ54" s="265"/>
      <c r="CA54" s="265"/>
      <c r="CB54" s="265"/>
      <c r="CC54" s="265"/>
      <c r="CD54" s="265"/>
      <c r="CE54" s="107"/>
      <c r="CF54" s="266"/>
      <c r="CG54" s="266"/>
      <c r="CH54" s="266"/>
      <c r="CI54" s="266"/>
      <c r="CJ54" s="266"/>
      <c r="CK54" s="266"/>
      <c r="CL54" s="266"/>
      <c r="CM54" s="266"/>
      <c r="CN54" s="266"/>
      <c r="CO54" s="266"/>
      <c r="CP54" s="266"/>
      <c r="CQ54" s="266"/>
      <c r="CR54" s="266"/>
      <c r="CS54" s="266"/>
      <c r="CT54" s="105"/>
      <c r="CU54" s="267"/>
      <c r="CV54" s="267"/>
      <c r="CW54" s="267"/>
      <c r="CX54" s="267"/>
      <c r="CY54" s="267"/>
      <c r="CZ54" s="267"/>
      <c r="DA54" s="267"/>
      <c r="DB54" s="267"/>
      <c r="DC54" s="267"/>
      <c r="DD54" s="267"/>
      <c r="DE54" s="267"/>
      <c r="DF54" s="267"/>
      <c r="DG54" s="267"/>
      <c r="DH54" s="267"/>
      <c r="DI54" s="267"/>
      <c r="DJ54" s="103"/>
      <c r="DK54" s="268"/>
      <c r="DL54" s="268"/>
      <c r="DM54" s="268"/>
      <c r="DN54" s="268"/>
      <c r="DO54" s="268"/>
      <c r="DP54" s="268"/>
      <c r="DQ54" s="268"/>
      <c r="DR54" s="268"/>
      <c r="DS54" s="268"/>
      <c r="DT54" s="268"/>
      <c r="DU54" s="268"/>
      <c r="DV54" s="268"/>
      <c r="DW54" s="268"/>
    </row>
    <row r="55" spans="1:127" ht="12.75">
      <c r="O55" s="368"/>
      <c r="BB55" s="18"/>
      <c r="BC55" s="264"/>
      <c r="BD55" s="264"/>
      <c r="BE55" s="264"/>
      <c r="BF55" s="264"/>
      <c r="BG55" s="264"/>
      <c r="BH55" s="264"/>
      <c r="BI55" s="264"/>
      <c r="BJ55" s="264"/>
      <c r="BK55" s="264"/>
      <c r="BL55" s="264"/>
      <c r="BM55" s="264"/>
      <c r="BN55" s="264"/>
      <c r="BO55" s="264"/>
      <c r="BP55" s="297"/>
      <c r="BQ55" s="265"/>
      <c r="BR55" s="265"/>
      <c r="BS55" s="265"/>
      <c r="BT55" s="265"/>
      <c r="BU55" s="265"/>
      <c r="BV55" s="265"/>
      <c r="BW55" s="265"/>
      <c r="BX55" s="265"/>
      <c r="BY55" s="265"/>
      <c r="BZ55" s="265"/>
      <c r="CA55" s="265"/>
      <c r="CB55" s="265"/>
      <c r="CC55" s="265"/>
      <c r="CD55" s="265"/>
      <c r="CE55" s="266"/>
      <c r="CF55" s="266"/>
      <c r="CG55" s="266"/>
      <c r="CH55" s="266"/>
      <c r="CI55" s="266"/>
      <c r="CJ55" s="266"/>
      <c r="CK55" s="266"/>
      <c r="CL55" s="266"/>
      <c r="CM55" s="266"/>
      <c r="CN55" s="266"/>
      <c r="CO55" s="266"/>
      <c r="CP55" s="266"/>
      <c r="CQ55" s="266"/>
      <c r="CR55" s="266"/>
      <c r="CS55" s="266"/>
      <c r="CT55" s="267"/>
      <c r="CU55" s="267"/>
      <c r="CV55" s="267"/>
      <c r="CW55" s="267"/>
      <c r="CX55" s="267"/>
      <c r="CY55" s="267"/>
      <c r="CZ55" s="267"/>
      <c r="DA55" s="267"/>
      <c r="DB55" s="267"/>
      <c r="DC55" s="267"/>
      <c r="DD55" s="267"/>
      <c r="DE55" s="267"/>
      <c r="DF55" s="267"/>
      <c r="DG55" s="267"/>
      <c r="DH55" s="267"/>
      <c r="DI55" s="267"/>
      <c r="DJ55" s="268"/>
      <c r="DK55" s="268"/>
      <c r="DL55" s="268"/>
      <c r="DM55" s="268"/>
      <c r="DN55" s="268"/>
      <c r="DO55" s="268"/>
      <c r="DP55" s="268"/>
      <c r="DQ55" s="268"/>
      <c r="DR55" s="268"/>
      <c r="DS55" s="268"/>
      <c r="DT55" s="268"/>
      <c r="DU55" s="268"/>
      <c r="DV55" s="268"/>
      <c r="DW55" s="268"/>
    </row>
    <row r="56" spans="1:127">
      <c r="BB56" s="18"/>
      <c r="BC56" s="264"/>
      <c r="BD56" s="264"/>
      <c r="BE56" s="264"/>
      <c r="BF56" s="264"/>
      <c r="BG56" s="264"/>
      <c r="BH56" s="264"/>
      <c r="BI56" s="264"/>
      <c r="BJ56" s="264"/>
      <c r="BK56" s="264"/>
      <c r="BL56" s="264"/>
      <c r="BM56" s="264"/>
      <c r="BN56" s="264"/>
      <c r="BO56" s="264"/>
      <c r="BP56" s="265"/>
      <c r="BQ56" s="265"/>
      <c r="BR56" s="265"/>
      <c r="BS56" s="265"/>
      <c r="BT56" s="265"/>
      <c r="BU56" s="265"/>
      <c r="BV56" s="265"/>
      <c r="BW56" s="265"/>
      <c r="BX56" s="265"/>
      <c r="BY56" s="265"/>
      <c r="BZ56" s="265"/>
      <c r="CA56" s="265"/>
      <c r="CB56" s="265"/>
      <c r="CC56" s="265"/>
      <c r="CD56" s="265"/>
      <c r="CE56" s="298"/>
      <c r="CF56" s="266"/>
      <c r="CG56" s="266"/>
      <c r="CH56" s="266"/>
      <c r="CI56" s="266"/>
      <c r="CJ56" s="266"/>
      <c r="CK56" s="266"/>
      <c r="CL56" s="266"/>
      <c r="CM56" s="266"/>
      <c r="CN56" s="266"/>
      <c r="CO56" s="266"/>
      <c r="CP56" s="266"/>
      <c r="CQ56" s="266"/>
      <c r="CR56" s="266"/>
      <c r="CS56" s="266"/>
      <c r="CT56" s="267"/>
      <c r="CU56" s="267"/>
      <c r="CV56" s="267"/>
      <c r="CW56" s="267"/>
      <c r="CX56" s="267"/>
      <c r="CY56" s="267"/>
      <c r="CZ56" s="267"/>
      <c r="DA56" s="267"/>
      <c r="DB56" s="267"/>
      <c r="DC56" s="267"/>
      <c r="DD56" s="267"/>
      <c r="DE56" s="267"/>
      <c r="DF56" s="267"/>
      <c r="DG56" s="267"/>
      <c r="DH56" s="267"/>
      <c r="DI56" s="267"/>
      <c r="DJ56" s="268"/>
      <c r="DK56" s="268"/>
      <c r="DL56" s="268"/>
      <c r="DM56" s="268"/>
      <c r="DN56" s="268"/>
      <c r="DO56" s="268"/>
      <c r="DP56" s="268"/>
      <c r="DQ56" s="268"/>
      <c r="DR56" s="268"/>
      <c r="DS56" s="268"/>
      <c r="DT56" s="268"/>
      <c r="DU56" s="268"/>
      <c r="DV56" s="268"/>
      <c r="DW56" s="268"/>
    </row>
    <row r="57" spans="1:127">
      <c r="AD57" s="12" t="s">
        <v>252</v>
      </c>
      <c r="BB57" s="18"/>
      <c r="BC57" s="264"/>
      <c r="BD57" s="264"/>
      <c r="BE57" s="264"/>
      <c r="BF57" s="264"/>
      <c r="BG57" s="264"/>
      <c r="BH57" s="264"/>
      <c r="BI57" s="264"/>
      <c r="BJ57" s="264"/>
      <c r="BK57" s="264"/>
      <c r="BL57" s="264"/>
      <c r="BM57" s="264"/>
      <c r="BN57" s="264"/>
      <c r="BO57" s="264"/>
      <c r="BP57" s="265"/>
      <c r="BQ57" s="265"/>
      <c r="BR57" s="265"/>
      <c r="BS57" s="265"/>
      <c r="BT57" s="265"/>
      <c r="BU57" s="265"/>
      <c r="BV57" s="265"/>
      <c r="BW57" s="265"/>
      <c r="BX57" s="265"/>
      <c r="BY57" s="265"/>
      <c r="BZ57" s="265"/>
      <c r="CA57" s="265"/>
      <c r="CB57" s="265"/>
      <c r="CC57" s="265"/>
      <c r="CD57" s="265"/>
      <c r="CE57" s="266"/>
      <c r="CF57" s="266"/>
      <c r="CG57" s="266"/>
      <c r="CH57" s="266"/>
      <c r="CI57" s="266"/>
      <c r="CJ57" s="266"/>
      <c r="CK57" s="266"/>
      <c r="CL57" s="266"/>
      <c r="CM57" s="266"/>
      <c r="CN57" s="266"/>
      <c r="CO57" s="266"/>
      <c r="CP57" s="266"/>
      <c r="CQ57" s="266"/>
      <c r="CR57" s="266"/>
      <c r="CS57" s="266"/>
      <c r="CT57" s="267"/>
      <c r="CU57" s="267"/>
      <c r="CV57" s="267"/>
      <c r="CW57" s="267"/>
      <c r="CX57" s="267"/>
      <c r="CY57" s="267"/>
      <c r="CZ57" s="267"/>
      <c r="DA57" s="267"/>
      <c r="DB57" s="267"/>
      <c r="DC57" s="267"/>
      <c r="DD57" s="267"/>
      <c r="DE57" s="267"/>
      <c r="DF57" s="267"/>
      <c r="DG57" s="267"/>
      <c r="DH57" s="267"/>
      <c r="DI57" s="267"/>
      <c r="DJ57" s="268"/>
      <c r="DK57" s="268"/>
      <c r="DL57" s="268"/>
      <c r="DM57" s="268"/>
      <c r="DN57" s="268"/>
      <c r="DO57" s="268"/>
      <c r="DP57" s="268"/>
      <c r="DQ57" s="268"/>
      <c r="DR57" s="268"/>
      <c r="DS57" s="268"/>
      <c r="DT57" s="268"/>
      <c r="DU57" s="268"/>
      <c r="DV57" s="268"/>
      <c r="DW57" s="268"/>
    </row>
    <row r="58" spans="1:127">
      <c r="AD58" s="295" t="s">
        <v>81</v>
      </c>
      <c r="BB58" s="18"/>
      <c r="BC58" s="264"/>
      <c r="BD58" s="264"/>
      <c r="BE58" s="264"/>
      <c r="BF58" s="264"/>
      <c r="BG58" s="264"/>
      <c r="BH58" s="264"/>
      <c r="BI58" s="264"/>
      <c r="BJ58" s="264"/>
      <c r="BK58" s="264"/>
      <c r="BL58" s="264"/>
      <c r="BM58" s="264"/>
      <c r="BN58" s="264"/>
      <c r="BO58" s="264"/>
      <c r="BP58" s="265"/>
      <c r="BQ58" s="265"/>
      <c r="BR58" s="265"/>
      <c r="BS58" s="265"/>
      <c r="BT58" s="265"/>
      <c r="BU58" s="265"/>
      <c r="BV58" s="265"/>
      <c r="BW58" s="265"/>
      <c r="BX58" s="265"/>
      <c r="BY58" s="265"/>
      <c r="BZ58" s="265"/>
      <c r="CA58" s="265"/>
      <c r="CB58" s="265"/>
      <c r="CC58" s="265"/>
      <c r="CD58" s="265"/>
      <c r="CE58" s="266"/>
      <c r="CF58" s="266"/>
      <c r="CG58" s="266"/>
      <c r="CH58" s="266"/>
      <c r="CI58" s="266"/>
      <c r="CJ58" s="266"/>
      <c r="CK58" s="266"/>
      <c r="CL58" s="266"/>
      <c r="CM58" s="266"/>
      <c r="CN58" s="266"/>
      <c r="CO58" s="266"/>
      <c r="CP58" s="266"/>
      <c r="CQ58" s="266"/>
      <c r="CR58" s="266"/>
      <c r="CS58" s="266"/>
      <c r="CT58" s="267"/>
      <c r="CU58" s="267"/>
      <c r="CV58" s="267"/>
      <c r="CW58" s="267"/>
      <c r="CX58" s="267"/>
      <c r="CY58" s="267"/>
      <c r="CZ58" s="267"/>
      <c r="DA58" s="267"/>
      <c r="DB58" s="267"/>
      <c r="DC58" s="267"/>
      <c r="DD58" s="267"/>
      <c r="DE58" s="267"/>
      <c r="DF58" s="267"/>
      <c r="DG58" s="267"/>
      <c r="DH58" s="267"/>
      <c r="DI58" s="267"/>
      <c r="DJ58" s="268"/>
      <c r="DK58" s="268"/>
      <c r="DL58" s="268"/>
      <c r="DM58" s="268"/>
      <c r="DN58" s="268"/>
      <c r="DO58" s="268"/>
      <c r="DP58" s="268"/>
      <c r="DQ58" s="268"/>
      <c r="DR58" s="268"/>
      <c r="DS58" s="268"/>
      <c r="DT58" s="268"/>
      <c r="DU58" s="268"/>
      <c r="DV58" s="268"/>
      <c r="DW58" s="268"/>
    </row>
    <row r="59" spans="1:127">
      <c r="AD59" s="12" t="s">
        <v>253</v>
      </c>
      <c r="AH59" s="12">
        <v>2856000</v>
      </c>
      <c r="AI59" s="12" t="s">
        <v>84</v>
      </c>
      <c r="BB59" s="264"/>
      <c r="BC59" s="264"/>
      <c r="BD59" s="264"/>
      <c r="BE59" s="264"/>
      <c r="BF59" s="264"/>
      <c r="BG59" s="264"/>
      <c r="BH59" s="264"/>
      <c r="BI59" s="264"/>
      <c r="BJ59" s="264"/>
      <c r="BK59" s="264"/>
      <c r="BL59" s="264"/>
      <c r="BM59" s="264"/>
      <c r="BN59" s="264"/>
      <c r="BO59" s="264"/>
      <c r="BP59" s="265"/>
      <c r="BQ59" s="265"/>
      <c r="BR59" s="265"/>
      <c r="BS59" s="265"/>
      <c r="BT59" s="265"/>
      <c r="BU59" s="265"/>
      <c r="BV59" s="265"/>
      <c r="BW59" s="265"/>
      <c r="BX59" s="265"/>
      <c r="BY59" s="265"/>
      <c r="BZ59" s="265"/>
      <c r="CA59" s="265"/>
      <c r="CB59" s="265"/>
      <c r="CC59" s="265"/>
      <c r="CD59" s="265"/>
      <c r="CE59" s="266"/>
      <c r="CF59" s="266"/>
      <c r="CG59" s="266"/>
      <c r="CH59" s="266"/>
      <c r="CI59" s="266"/>
      <c r="CJ59" s="266"/>
      <c r="CK59" s="266"/>
      <c r="CL59" s="266"/>
      <c r="CM59" s="266"/>
      <c r="CN59" s="266"/>
      <c r="CO59" s="266"/>
      <c r="CP59" s="266"/>
      <c r="CQ59" s="266"/>
      <c r="CR59" s="266"/>
      <c r="CS59" s="266"/>
      <c r="CT59" s="267"/>
      <c r="CU59" s="267"/>
      <c r="CV59" s="267"/>
      <c r="CW59" s="267"/>
      <c r="CX59" s="267"/>
      <c r="CY59" s="267"/>
      <c r="CZ59" s="267"/>
      <c r="DA59" s="267"/>
      <c r="DB59" s="267"/>
      <c r="DC59" s="267"/>
      <c r="DD59" s="267"/>
      <c r="DE59" s="267"/>
      <c r="DF59" s="267"/>
      <c r="DG59" s="267"/>
      <c r="DH59" s="267"/>
      <c r="DI59" s="267"/>
      <c r="DJ59" s="268"/>
      <c r="DK59" s="268"/>
      <c r="DL59" s="268"/>
      <c r="DM59" s="268"/>
      <c r="DN59" s="268"/>
      <c r="DO59" s="268"/>
      <c r="DP59" s="268"/>
      <c r="DQ59" s="268"/>
      <c r="DR59" s="268"/>
      <c r="DS59" s="268"/>
      <c r="DT59" s="268"/>
      <c r="DU59" s="268"/>
      <c r="DV59" s="268"/>
      <c r="DW59" s="268"/>
    </row>
    <row r="60" spans="1:127">
      <c r="A60" s="26"/>
      <c r="B60" s="33"/>
      <c r="C60" s="33"/>
      <c r="D60" s="26"/>
      <c r="E60" s="26"/>
      <c r="F60" s="26"/>
      <c r="G60" s="34"/>
      <c r="H60" s="26"/>
      <c r="I60" s="384"/>
      <c r="J60" s="385"/>
      <c r="BB60" s="264"/>
      <c r="BC60" s="264"/>
      <c r="BD60" s="264"/>
      <c r="BE60" s="264"/>
      <c r="BF60" s="264"/>
      <c r="BG60" s="264"/>
      <c r="BH60" s="264"/>
      <c r="BI60" s="264"/>
      <c r="BJ60" s="264"/>
      <c r="BK60" s="264"/>
      <c r="BL60" s="264"/>
      <c r="BM60" s="264"/>
      <c r="BN60" s="264"/>
      <c r="BO60" s="264"/>
      <c r="BP60" s="265"/>
      <c r="BQ60" s="265"/>
      <c r="BR60" s="265"/>
      <c r="BS60" s="265"/>
      <c r="BT60" s="265"/>
      <c r="BU60" s="265"/>
      <c r="BV60" s="265"/>
      <c r="BW60" s="265"/>
      <c r="BX60" s="265"/>
      <c r="BY60" s="265"/>
      <c r="BZ60" s="265"/>
      <c r="CA60" s="265"/>
      <c r="CB60" s="265"/>
      <c r="CC60" s="265"/>
      <c r="CD60" s="265"/>
      <c r="CE60" s="266"/>
      <c r="CF60" s="266"/>
      <c r="CG60" s="266"/>
      <c r="CH60" s="266"/>
      <c r="CI60" s="266"/>
      <c r="CJ60" s="266"/>
      <c r="CK60" s="266"/>
      <c r="CL60" s="266"/>
      <c r="CM60" s="266"/>
      <c r="CN60" s="266"/>
      <c r="CO60" s="266"/>
      <c r="CP60" s="266"/>
      <c r="CQ60" s="266"/>
      <c r="CR60" s="266"/>
      <c r="CS60" s="266"/>
      <c r="CT60" s="267"/>
      <c r="CU60" s="267"/>
      <c r="CV60" s="267"/>
      <c r="CW60" s="267"/>
      <c r="CX60" s="267"/>
      <c r="CY60" s="267"/>
      <c r="CZ60" s="267"/>
      <c r="DA60" s="267"/>
      <c r="DB60" s="267"/>
      <c r="DC60" s="267"/>
      <c r="DD60" s="267"/>
      <c r="DE60" s="267"/>
      <c r="DF60" s="267"/>
      <c r="DG60" s="267"/>
      <c r="DH60" s="267"/>
      <c r="DI60" s="267"/>
      <c r="DJ60" s="268"/>
      <c r="DK60" s="268"/>
      <c r="DL60" s="268"/>
      <c r="DM60" s="268"/>
      <c r="DN60" s="268"/>
      <c r="DO60" s="268"/>
      <c r="DP60" s="268"/>
      <c r="DQ60" s="268"/>
      <c r="DR60" s="268"/>
      <c r="DS60" s="268"/>
      <c r="DT60" s="268"/>
      <c r="DU60" s="268"/>
      <c r="DV60" s="268"/>
      <c r="DW60" s="268"/>
    </row>
    <row r="61" spans="1:127">
      <c r="I61" s="384"/>
      <c r="AD61" s="12" t="s">
        <v>120</v>
      </c>
      <c r="BB61" s="264"/>
      <c r="BC61" s="264"/>
      <c r="BD61" s="264"/>
      <c r="BE61" s="264"/>
      <c r="BF61" s="264"/>
      <c r="BG61" s="264"/>
      <c r="BH61" s="264"/>
      <c r="BI61" s="264"/>
      <c r="BJ61" s="264"/>
      <c r="BK61" s="264"/>
      <c r="BL61" s="264"/>
      <c r="BM61" s="264"/>
      <c r="BN61" s="264"/>
      <c r="BO61" s="264"/>
      <c r="BP61" s="265"/>
      <c r="BQ61" s="265"/>
      <c r="BR61" s="265"/>
      <c r="BS61" s="265"/>
      <c r="BT61" s="265"/>
      <c r="BU61" s="265"/>
      <c r="BV61" s="265"/>
      <c r="BW61" s="265"/>
      <c r="BX61" s="265"/>
      <c r="BY61" s="265"/>
      <c r="BZ61" s="265"/>
      <c r="CA61" s="265"/>
      <c r="CB61" s="265"/>
      <c r="CC61" s="265"/>
      <c r="CD61" s="265"/>
      <c r="CE61" s="266"/>
      <c r="CF61" s="266"/>
      <c r="CG61" s="266"/>
      <c r="CH61" s="266"/>
      <c r="CI61" s="266"/>
      <c r="CJ61" s="266"/>
      <c r="CK61" s="266"/>
      <c r="CL61" s="266"/>
      <c r="CM61" s="266"/>
      <c r="CN61" s="266"/>
      <c r="CO61" s="266"/>
      <c r="CP61" s="266"/>
      <c r="CQ61" s="266"/>
      <c r="CR61" s="266"/>
      <c r="CS61" s="266"/>
      <c r="CT61" s="267"/>
      <c r="CU61" s="267"/>
      <c r="CV61" s="267"/>
      <c r="CW61" s="267"/>
      <c r="CX61" s="267"/>
      <c r="CY61" s="267"/>
      <c r="CZ61" s="267"/>
      <c r="DA61" s="267"/>
      <c r="DB61" s="267"/>
      <c r="DC61" s="267"/>
      <c r="DD61" s="267"/>
      <c r="DE61" s="267"/>
      <c r="DF61" s="267"/>
      <c r="DG61" s="267"/>
      <c r="DH61" s="267"/>
      <c r="DI61" s="267"/>
      <c r="DJ61" s="268"/>
      <c r="DK61" s="268"/>
      <c r="DL61" s="268"/>
      <c r="DM61" s="268"/>
      <c r="DN61" s="268"/>
      <c r="DO61" s="268"/>
      <c r="DP61" s="268"/>
      <c r="DQ61" s="268"/>
      <c r="DR61" s="268"/>
      <c r="DS61" s="268"/>
      <c r="DT61" s="268"/>
      <c r="DU61" s="268"/>
      <c r="DV61" s="268"/>
      <c r="DW61" s="268"/>
    </row>
    <row r="62" spans="1:127" ht="12.75">
      <c r="AD62" s="295" t="s">
        <v>121</v>
      </c>
      <c r="BB62" s="264"/>
      <c r="BC62" s="264"/>
      <c r="BD62" s="264"/>
      <c r="BE62" s="264"/>
      <c r="BF62" s="264"/>
      <c r="BG62" s="264"/>
      <c r="BH62" s="264"/>
      <c r="BI62" s="264"/>
      <c r="BJ62" s="264"/>
      <c r="BK62" s="264"/>
      <c r="BL62" s="264"/>
      <c r="BM62" s="264"/>
      <c r="BN62" s="264"/>
      <c r="BO62" s="264"/>
      <c r="BP62" s="265"/>
      <c r="BQ62" s="265"/>
      <c r="BR62" s="265"/>
      <c r="BS62" s="265"/>
      <c r="BT62" s="265"/>
      <c r="BU62" s="265"/>
      <c r="BV62" s="265"/>
      <c r="BW62" s="265"/>
      <c r="BX62" s="265"/>
      <c r="BY62" s="265"/>
      <c r="BZ62" s="265"/>
      <c r="CA62" s="386"/>
      <c r="CB62" s="265"/>
      <c r="CC62" s="337"/>
      <c r="CD62" s="337"/>
      <c r="CE62" s="266"/>
      <c r="CF62" s="266"/>
      <c r="CG62" s="266"/>
      <c r="CH62" s="266"/>
      <c r="CI62" s="266"/>
      <c r="CJ62" s="266"/>
      <c r="CK62" s="266"/>
      <c r="CL62" s="266"/>
      <c r="CM62" s="266"/>
      <c r="CN62" s="266"/>
      <c r="CO62" s="266"/>
      <c r="CP62" s="266"/>
      <c r="CQ62" s="266"/>
      <c r="CR62" s="266"/>
      <c r="CS62" s="266"/>
      <c r="CT62" s="267"/>
      <c r="CU62" s="267"/>
      <c r="CV62" s="267"/>
      <c r="CW62" s="267"/>
      <c r="CX62" s="267"/>
      <c r="CY62" s="267"/>
      <c r="CZ62" s="267"/>
      <c r="DA62" s="267"/>
      <c r="DB62" s="267"/>
      <c r="DC62" s="267"/>
      <c r="DD62" s="267"/>
      <c r="DE62" s="267"/>
      <c r="DF62" s="267"/>
      <c r="DG62" s="267"/>
      <c r="DH62" s="267"/>
      <c r="DI62" s="267"/>
      <c r="DJ62" s="268"/>
      <c r="DK62" s="268"/>
      <c r="DL62" s="268"/>
      <c r="DM62" s="268"/>
      <c r="DN62" s="268"/>
      <c r="DO62" s="268"/>
      <c r="DP62" s="268"/>
      <c r="DQ62" s="268"/>
      <c r="DR62" s="268"/>
      <c r="DS62" s="268"/>
      <c r="DT62" s="268"/>
      <c r="DU62" s="268"/>
      <c r="DV62" s="268"/>
      <c r="DW62" s="268"/>
    </row>
    <row r="63" spans="1:127" ht="12.75">
      <c r="BB63" s="264"/>
      <c r="BC63" s="264"/>
      <c r="BD63" s="264"/>
      <c r="BE63" s="264"/>
      <c r="BF63" s="264"/>
      <c r="BG63" s="264"/>
      <c r="BH63" s="264"/>
      <c r="BI63" s="264"/>
      <c r="BJ63" s="264"/>
      <c r="BK63" s="264"/>
      <c r="BL63" s="264"/>
      <c r="BM63" s="264"/>
      <c r="BN63" s="264"/>
      <c r="BO63" s="264"/>
      <c r="BP63" s="265"/>
      <c r="BQ63" s="265"/>
      <c r="BR63" s="265"/>
      <c r="BS63" s="265"/>
      <c r="BT63" s="265"/>
      <c r="BU63" s="265"/>
      <c r="BV63" s="265"/>
      <c r="BW63" s="265"/>
      <c r="BX63" s="265"/>
      <c r="BY63" s="265"/>
      <c r="BZ63" s="265"/>
      <c r="CA63" s="386"/>
      <c r="CB63" s="265"/>
      <c r="CC63" s="337"/>
      <c r="CD63" s="337"/>
      <c r="CE63" s="266"/>
      <c r="CF63" s="266"/>
      <c r="CG63" s="266"/>
      <c r="CH63" s="266"/>
      <c r="CI63" s="266"/>
      <c r="CJ63" s="266"/>
      <c r="CK63" s="266"/>
      <c r="CL63" s="266"/>
      <c r="CM63" s="266"/>
      <c r="CN63" s="266"/>
      <c r="CO63" s="266"/>
      <c r="CP63" s="266"/>
      <c r="CQ63" s="266"/>
      <c r="CR63" s="266"/>
      <c r="CS63" s="266"/>
      <c r="CT63" s="267"/>
      <c r="CU63" s="267"/>
      <c r="CV63" s="267"/>
      <c r="CW63" s="267"/>
      <c r="CX63" s="267"/>
      <c r="CY63" s="267"/>
      <c r="CZ63" s="267"/>
      <c r="DA63" s="267"/>
      <c r="DB63" s="267"/>
      <c r="DC63" s="267"/>
      <c r="DD63" s="267"/>
      <c r="DE63" s="267"/>
      <c r="DF63" s="267"/>
      <c r="DG63" s="267"/>
      <c r="DH63" s="267"/>
      <c r="DI63" s="267"/>
      <c r="DJ63" s="268"/>
      <c r="DK63" s="268"/>
      <c r="DL63" s="268"/>
      <c r="DM63" s="268"/>
      <c r="DN63" s="268"/>
      <c r="DO63" s="268"/>
      <c r="DP63" s="268"/>
      <c r="DQ63" s="268"/>
      <c r="DR63" s="268"/>
      <c r="DS63" s="268"/>
      <c r="DT63" s="268"/>
      <c r="DU63" s="268"/>
      <c r="DV63" s="268"/>
      <c r="DW63" s="268"/>
    </row>
    <row r="64" spans="1:127" ht="12.75">
      <c r="BB64" s="264"/>
      <c r="BC64" s="264"/>
      <c r="BD64" s="264"/>
      <c r="BE64" s="264"/>
      <c r="BF64" s="264"/>
      <c r="BG64" s="264"/>
      <c r="BH64" s="264"/>
      <c r="BI64" s="264"/>
      <c r="BJ64" s="264"/>
      <c r="BK64" s="264"/>
      <c r="BL64" s="264"/>
      <c r="BM64" s="264"/>
      <c r="BN64" s="264"/>
      <c r="BO64" s="264"/>
      <c r="BP64" s="265"/>
      <c r="BQ64" s="265"/>
      <c r="BR64" s="265"/>
      <c r="BS64" s="265"/>
      <c r="BT64" s="265"/>
      <c r="BU64" s="265"/>
      <c r="BV64" s="265"/>
      <c r="BW64" s="265"/>
      <c r="BX64" s="265"/>
      <c r="BY64" s="265"/>
      <c r="BZ64" s="265"/>
      <c r="CA64" s="336"/>
      <c r="CB64" s="337"/>
      <c r="CC64" s="336"/>
      <c r="CD64" s="265"/>
      <c r="CE64" s="266"/>
      <c r="CF64" s="266"/>
      <c r="CG64" s="266"/>
      <c r="CH64" s="266"/>
      <c r="CI64" s="266"/>
      <c r="CJ64" s="266"/>
      <c r="CK64" s="266"/>
      <c r="CL64" s="266"/>
      <c r="CM64" s="266"/>
      <c r="CN64" s="266"/>
      <c r="CO64" s="266"/>
      <c r="CP64" s="266"/>
      <c r="CQ64" s="266"/>
      <c r="CR64" s="266"/>
      <c r="CS64" s="266"/>
      <c r="CT64" s="267"/>
      <c r="CU64" s="267"/>
      <c r="CV64" s="267"/>
      <c r="CW64" s="267"/>
      <c r="CX64" s="267"/>
      <c r="CY64" s="267"/>
      <c r="CZ64" s="267"/>
      <c r="DA64" s="267"/>
      <c r="DB64" s="267"/>
      <c r="DC64" s="267"/>
      <c r="DD64" s="267"/>
      <c r="DE64" s="267"/>
      <c r="DF64" s="267"/>
      <c r="DG64" s="267"/>
      <c r="DH64" s="267"/>
      <c r="DI64" s="267"/>
      <c r="DJ64" s="268"/>
      <c r="DK64" s="268"/>
      <c r="DL64" s="268"/>
      <c r="DM64" s="268"/>
      <c r="DN64" s="268"/>
      <c r="DO64" s="268"/>
      <c r="DP64" s="268"/>
      <c r="DQ64" s="268"/>
      <c r="DR64" s="268"/>
      <c r="DS64" s="268"/>
      <c r="DT64" s="268"/>
      <c r="DU64" s="268"/>
      <c r="DV64" s="268"/>
      <c r="DW64" s="268"/>
    </row>
    <row r="65" spans="5:127" ht="12.75">
      <c r="M65" s="11" t="s">
        <v>129</v>
      </c>
      <c r="N65" s="365">
        <v>2661000</v>
      </c>
      <c r="BB65" s="264"/>
      <c r="BC65" s="264"/>
      <c r="BD65" s="264"/>
      <c r="BE65" s="264"/>
      <c r="BF65" s="264"/>
      <c r="BG65" s="264"/>
      <c r="BH65" s="264"/>
      <c r="BI65" s="264"/>
      <c r="BJ65" s="264"/>
      <c r="BK65" s="264"/>
      <c r="BL65" s="264"/>
      <c r="BM65" s="264"/>
      <c r="BN65" s="264"/>
      <c r="BO65" s="264"/>
      <c r="BP65" s="265"/>
      <c r="BQ65" s="265"/>
      <c r="BR65" s="265"/>
      <c r="BS65" s="265"/>
      <c r="BT65" s="265"/>
      <c r="BU65" s="265"/>
      <c r="BV65" s="265"/>
      <c r="BW65" s="265"/>
      <c r="BX65" s="265"/>
      <c r="BY65" s="265"/>
      <c r="BZ65" s="265"/>
      <c r="CA65" s="265"/>
      <c r="CB65" s="349"/>
      <c r="CC65" s="336"/>
      <c r="CD65" s="336"/>
      <c r="CE65" s="266"/>
      <c r="CF65" s="266"/>
      <c r="CG65" s="266"/>
      <c r="CH65" s="266"/>
      <c r="CI65" s="266"/>
      <c r="CJ65" s="266"/>
      <c r="CK65" s="266"/>
      <c r="CL65" s="266"/>
      <c r="CM65" s="266"/>
      <c r="CN65" s="266"/>
      <c r="CO65" s="266"/>
      <c r="CP65" s="387"/>
      <c r="CQ65" s="266"/>
      <c r="CR65" s="266"/>
      <c r="CS65" s="266"/>
      <c r="CT65" s="267"/>
      <c r="CU65" s="267"/>
      <c r="CV65" s="267"/>
      <c r="CW65" s="267"/>
      <c r="CX65" s="267"/>
      <c r="CY65" s="267"/>
      <c r="CZ65" s="267"/>
      <c r="DA65" s="267"/>
      <c r="DB65" s="267"/>
      <c r="DC65" s="267"/>
      <c r="DD65" s="267"/>
      <c r="DE65" s="267"/>
      <c r="DF65" s="267"/>
      <c r="DG65" s="267"/>
      <c r="DH65" s="267"/>
      <c r="DI65" s="267"/>
      <c r="DJ65" s="268"/>
      <c r="DK65" s="268"/>
      <c r="DL65" s="268"/>
      <c r="DM65" s="268"/>
      <c r="DN65" s="268"/>
      <c r="DO65" s="268"/>
      <c r="DP65" s="268"/>
      <c r="DQ65" s="268"/>
      <c r="DR65" s="268"/>
      <c r="DS65" s="268"/>
      <c r="DT65" s="268"/>
      <c r="DU65" s="268"/>
      <c r="DV65" s="268"/>
      <c r="DW65" s="268"/>
    </row>
    <row r="66" spans="5:127" ht="12.75">
      <c r="M66" s="11" t="s">
        <v>130</v>
      </c>
      <c r="N66" s="388">
        <v>1.2E-2</v>
      </c>
      <c r="BB66" s="264"/>
      <c r="BC66" s="264"/>
      <c r="BD66" s="264"/>
      <c r="BE66" s="264"/>
      <c r="BF66" s="264"/>
      <c r="BG66" s="264"/>
      <c r="BH66" s="264"/>
      <c r="BI66" s="264"/>
      <c r="BJ66" s="264"/>
      <c r="BK66" s="264"/>
      <c r="BL66" s="264"/>
      <c r="BM66" s="264"/>
      <c r="BN66" s="264"/>
      <c r="BO66" s="264"/>
      <c r="BP66" s="265"/>
      <c r="BQ66" s="265"/>
      <c r="BR66" s="265"/>
      <c r="BS66" s="265"/>
      <c r="BT66" s="265"/>
      <c r="BU66" s="265"/>
      <c r="BV66" s="265"/>
      <c r="BW66" s="265"/>
      <c r="BX66" s="265"/>
      <c r="BY66" s="265"/>
      <c r="BZ66" s="265"/>
      <c r="CA66" s="265"/>
      <c r="CB66" s="265"/>
      <c r="CC66" s="265"/>
      <c r="CD66" s="265"/>
      <c r="CE66" s="266"/>
      <c r="CF66" s="266"/>
      <c r="CG66" s="266"/>
      <c r="CH66" s="266"/>
      <c r="CI66" s="266"/>
      <c r="CJ66" s="266"/>
      <c r="CK66" s="266"/>
      <c r="CL66" s="266"/>
      <c r="CM66" s="266"/>
      <c r="CN66" s="266"/>
      <c r="CO66" s="266"/>
      <c r="CP66" s="387"/>
      <c r="CQ66" s="266"/>
      <c r="CR66" s="266"/>
      <c r="CS66" s="266"/>
      <c r="CT66" s="267"/>
      <c r="CU66" s="267"/>
      <c r="CV66" s="267"/>
      <c r="CW66" s="267"/>
      <c r="CX66" s="267"/>
      <c r="CY66" s="267"/>
      <c r="CZ66" s="267"/>
      <c r="DA66" s="267"/>
      <c r="DB66" s="267"/>
      <c r="DC66" s="267"/>
      <c r="DD66" s="267"/>
      <c r="DE66" s="267"/>
      <c r="DF66" s="267"/>
      <c r="DG66" s="267"/>
      <c r="DH66" s="267"/>
      <c r="DI66" s="267"/>
      <c r="DJ66" s="268"/>
      <c r="DK66" s="268"/>
      <c r="DL66" s="268"/>
      <c r="DM66" s="268"/>
      <c r="DN66" s="268"/>
      <c r="DO66" s="268"/>
      <c r="DP66" s="268"/>
      <c r="DQ66" s="268"/>
      <c r="DR66" s="268"/>
      <c r="DS66" s="268"/>
      <c r="DT66" s="268"/>
      <c r="DU66" s="268"/>
      <c r="DV66" s="268"/>
      <c r="DW66" s="268"/>
    </row>
    <row r="67" spans="5:127" ht="12.75">
      <c r="N67" s="365">
        <f>N65*N66</f>
        <v>31932</v>
      </c>
      <c r="O67" s="11" t="s">
        <v>132</v>
      </c>
      <c r="BB67" s="264"/>
      <c r="BC67" s="264"/>
      <c r="BD67" s="264"/>
      <c r="BE67" s="264"/>
      <c r="BF67" s="264"/>
      <c r="BG67" s="264"/>
      <c r="BH67" s="264"/>
      <c r="BI67" s="264"/>
      <c r="BJ67" s="264"/>
      <c r="BK67" s="264"/>
      <c r="BL67" s="264"/>
      <c r="BM67" s="264"/>
      <c r="BN67" s="264"/>
      <c r="BO67" s="264"/>
      <c r="BP67" s="265"/>
      <c r="BQ67" s="265"/>
      <c r="BR67" s="265"/>
      <c r="BS67" s="265"/>
      <c r="BT67" s="265"/>
      <c r="BU67" s="265"/>
      <c r="BV67" s="265"/>
      <c r="BW67" s="265"/>
      <c r="BX67" s="265"/>
      <c r="BY67" s="265"/>
      <c r="BZ67" s="265"/>
      <c r="CA67" s="265"/>
      <c r="CB67" s="265"/>
      <c r="CC67" s="265"/>
      <c r="CD67" s="265"/>
      <c r="CE67" s="266"/>
      <c r="CF67" s="266"/>
      <c r="CG67" s="266"/>
      <c r="CH67" s="266"/>
      <c r="CI67" s="266"/>
      <c r="CJ67" s="266"/>
      <c r="CK67" s="266"/>
      <c r="CL67" s="266"/>
      <c r="CM67" s="266"/>
      <c r="CN67" s="266"/>
      <c r="CO67" s="266"/>
      <c r="CP67" s="328"/>
      <c r="CQ67" s="266"/>
      <c r="CR67" s="266"/>
      <c r="CS67" s="266"/>
      <c r="CT67" s="267"/>
      <c r="CU67" s="267"/>
      <c r="CV67" s="267"/>
      <c r="CW67" s="267"/>
      <c r="CX67" s="267"/>
      <c r="CY67" s="267"/>
      <c r="CZ67" s="267"/>
      <c r="DA67" s="267"/>
      <c r="DB67" s="267"/>
      <c r="DC67" s="267"/>
      <c r="DD67" s="267"/>
      <c r="DE67" s="267"/>
      <c r="DF67" s="267"/>
      <c r="DG67" s="267"/>
      <c r="DH67" s="267"/>
      <c r="DI67" s="267"/>
      <c r="DJ67" s="268"/>
      <c r="DK67" s="268"/>
      <c r="DL67" s="268"/>
      <c r="DM67" s="268"/>
      <c r="DN67" s="268"/>
      <c r="DO67" s="268"/>
      <c r="DP67" s="268"/>
      <c r="DQ67" s="268"/>
      <c r="DR67" s="268"/>
      <c r="DS67" s="268"/>
      <c r="DT67" s="268"/>
      <c r="DU67" s="268"/>
      <c r="DV67" s="268"/>
      <c r="DW67" s="268"/>
    </row>
    <row r="68" spans="5:127">
      <c r="BB68" s="264"/>
      <c r="BC68" s="264"/>
      <c r="BD68" s="264"/>
      <c r="BE68" s="264"/>
      <c r="BF68" s="264"/>
      <c r="BG68" s="264"/>
      <c r="BH68" s="264"/>
      <c r="BI68" s="264"/>
      <c r="BJ68" s="264"/>
      <c r="BK68" s="264"/>
      <c r="BL68" s="264"/>
      <c r="BM68" s="264"/>
      <c r="BN68" s="264"/>
      <c r="BO68" s="264"/>
      <c r="BP68" s="265"/>
      <c r="BQ68" s="265"/>
      <c r="BR68" s="265"/>
      <c r="BS68" s="265"/>
      <c r="BT68" s="265"/>
      <c r="BU68" s="265"/>
      <c r="BV68" s="265"/>
      <c r="BW68" s="265"/>
      <c r="BX68" s="265"/>
      <c r="BY68" s="265"/>
      <c r="BZ68" s="265" t="s">
        <v>128</v>
      </c>
      <c r="CA68" s="297" t="s">
        <v>81</v>
      </c>
      <c r="CB68" s="265"/>
      <c r="CC68" s="265"/>
      <c r="CD68" s="265"/>
      <c r="CE68" s="266"/>
      <c r="CF68" s="266"/>
      <c r="CG68" s="266"/>
      <c r="CH68" s="266"/>
      <c r="CI68" s="266"/>
      <c r="CJ68" s="266"/>
      <c r="CK68" s="266"/>
      <c r="CL68" s="266"/>
      <c r="CM68" s="266"/>
      <c r="CN68" s="266"/>
      <c r="CO68" s="266"/>
      <c r="CP68" s="266"/>
      <c r="CQ68" s="266"/>
      <c r="CR68" s="266"/>
      <c r="CS68" s="266"/>
      <c r="CT68" s="267"/>
      <c r="CU68" s="267"/>
      <c r="CV68" s="267"/>
      <c r="CW68" s="267"/>
      <c r="CX68" s="267"/>
      <c r="CY68" s="267"/>
      <c r="CZ68" s="267"/>
      <c r="DA68" s="267"/>
      <c r="DB68" s="267"/>
      <c r="DC68" s="267"/>
      <c r="DD68" s="267"/>
      <c r="DE68" s="267"/>
      <c r="DF68" s="267"/>
      <c r="DG68" s="267"/>
      <c r="DH68" s="267"/>
      <c r="DI68" s="267"/>
      <c r="DJ68" s="268"/>
      <c r="DK68" s="268"/>
      <c r="DL68" s="268"/>
      <c r="DM68" s="268"/>
      <c r="DN68" s="268"/>
      <c r="DO68" s="268"/>
      <c r="DP68" s="268"/>
      <c r="DQ68" s="268"/>
      <c r="DR68" s="268"/>
      <c r="DS68" s="268"/>
      <c r="DT68" s="268"/>
      <c r="DU68" s="268"/>
      <c r="DV68" s="268"/>
      <c r="DW68" s="268"/>
    </row>
    <row r="69" spans="5:127">
      <c r="BB69" s="264"/>
      <c r="BC69" s="264"/>
      <c r="BD69" s="264"/>
      <c r="BE69" s="264"/>
      <c r="BF69" s="264"/>
      <c r="BG69" s="264"/>
      <c r="BH69" s="264"/>
      <c r="BI69" s="264"/>
      <c r="BJ69" s="264"/>
      <c r="BK69" s="264"/>
      <c r="BL69" s="264"/>
      <c r="BM69" s="264"/>
      <c r="BN69" s="264"/>
      <c r="BO69" s="264"/>
      <c r="BP69" s="265"/>
      <c r="BQ69" s="265"/>
      <c r="BR69" s="265"/>
      <c r="BS69" s="265"/>
      <c r="BT69" s="265"/>
      <c r="BU69" s="265"/>
      <c r="BV69" s="265"/>
      <c r="BW69" s="265"/>
      <c r="BX69" s="265"/>
      <c r="BY69" s="265"/>
      <c r="BZ69" s="265"/>
      <c r="CA69" s="265"/>
      <c r="CB69" s="265"/>
      <c r="CC69" s="265"/>
      <c r="CD69" s="265"/>
      <c r="CE69" s="266"/>
      <c r="CF69" s="266"/>
      <c r="CG69" s="266"/>
      <c r="CH69" s="266"/>
      <c r="CI69" s="266"/>
      <c r="CJ69" s="266"/>
      <c r="CK69" s="266"/>
      <c r="CL69" s="266"/>
      <c r="CM69" s="266"/>
      <c r="CN69" s="266"/>
      <c r="CO69" s="266"/>
      <c r="CP69" s="266"/>
      <c r="CQ69" s="266"/>
      <c r="CR69" s="266"/>
      <c r="CS69" s="266"/>
      <c r="CT69" s="267"/>
      <c r="CU69" s="267"/>
      <c r="CV69" s="267"/>
      <c r="CW69" s="267"/>
      <c r="CX69" s="267"/>
      <c r="CY69" s="267"/>
      <c r="CZ69" s="267"/>
      <c r="DA69" s="267"/>
      <c r="DB69" s="267"/>
      <c r="DC69" s="267"/>
      <c r="DD69" s="267"/>
      <c r="DE69" s="267"/>
      <c r="DF69" s="267"/>
      <c r="DG69" s="267"/>
      <c r="DH69" s="267"/>
      <c r="DI69" s="267"/>
      <c r="DJ69" s="268"/>
      <c r="DK69" s="268"/>
      <c r="DL69" s="268"/>
      <c r="DM69" s="268"/>
      <c r="DN69" s="268"/>
      <c r="DO69" s="268"/>
      <c r="DP69" s="268"/>
      <c r="DQ69" s="268"/>
      <c r="DR69" s="268"/>
      <c r="DS69" s="268"/>
      <c r="DT69" s="268"/>
      <c r="DU69" s="268"/>
      <c r="DV69" s="268"/>
      <c r="DW69" s="268"/>
    </row>
    <row r="70" spans="5:127" ht="11.25" customHeight="1">
      <c r="BB70" s="264"/>
      <c r="BC70" s="264"/>
      <c r="BD70" s="264"/>
      <c r="BE70" s="264"/>
      <c r="BF70" s="264"/>
      <c r="BG70" s="264"/>
      <c r="BH70" s="264"/>
      <c r="BI70" s="264"/>
      <c r="BJ70" s="264"/>
      <c r="BK70" s="264"/>
      <c r="BL70" s="264"/>
      <c r="BM70" s="264"/>
      <c r="BN70" s="264"/>
      <c r="BO70" s="264"/>
      <c r="BP70" s="265"/>
      <c r="BQ70" s="265"/>
      <c r="BR70" s="265"/>
      <c r="BS70" s="265"/>
      <c r="BT70" s="265"/>
      <c r="BU70" s="265"/>
      <c r="BV70" s="265"/>
      <c r="BW70" s="265"/>
      <c r="BX70" s="265"/>
      <c r="BY70" s="265"/>
      <c r="BZ70" s="265" t="s">
        <v>129</v>
      </c>
      <c r="CA70" s="349">
        <v>2662000</v>
      </c>
      <c r="CB70" s="349"/>
      <c r="CC70" s="265"/>
      <c r="CD70" s="265"/>
      <c r="CE70" s="266"/>
      <c r="CF70" s="266"/>
      <c r="CG70" s="266"/>
      <c r="CH70" s="266"/>
      <c r="CI70" s="266"/>
      <c r="CJ70" s="266"/>
      <c r="CK70" s="266"/>
      <c r="CL70" s="266"/>
      <c r="CM70" s="266"/>
      <c r="CN70" s="266"/>
      <c r="CO70" s="266"/>
      <c r="CP70" s="266"/>
      <c r="CQ70" s="266"/>
      <c r="CR70" s="266"/>
      <c r="CS70" s="266"/>
      <c r="CT70" s="267"/>
      <c r="CU70" s="267"/>
      <c r="CV70" s="267"/>
      <c r="CW70" s="267"/>
      <c r="CX70" s="267"/>
      <c r="CY70" s="267"/>
      <c r="CZ70" s="267"/>
      <c r="DA70" s="267"/>
      <c r="DB70" s="267"/>
      <c r="DC70" s="267"/>
      <c r="DD70" s="267"/>
      <c r="DE70" s="267"/>
      <c r="DF70" s="267"/>
      <c r="DG70" s="267"/>
      <c r="DH70" s="267"/>
      <c r="DI70" s="267"/>
      <c r="DJ70" s="268"/>
      <c r="DK70" s="268"/>
      <c r="DL70" s="268"/>
      <c r="DM70" s="268"/>
      <c r="DN70" s="268"/>
      <c r="DO70" s="268"/>
      <c r="DP70" s="268"/>
      <c r="DQ70" s="268"/>
      <c r="DR70" s="268"/>
      <c r="DS70" s="268"/>
      <c r="DT70" s="268"/>
      <c r="DU70" s="268"/>
      <c r="DV70" s="268"/>
      <c r="DW70" s="268"/>
    </row>
    <row r="71" spans="5:127" ht="12.75">
      <c r="BB71" s="264"/>
      <c r="BC71" s="264"/>
      <c r="BD71" s="264"/>
      <c r="BE71" s="264"/>
      <c r="BF71" s="264"/>
      <c r="BG71" s="264"/>
      <c r="BH71" s="264"/>
      <c r="BI71" s="264"/>
      <c r="BJ71" s="264"/>
      <c r="BK71" s="264"/>
      <c r="BL71" s="264"/>
      <c r="BM71" s="264"/>
      <c r="BN71" s="264"/>
      <c r="BO71" s="264"/>
      <c r="BP71" s="265"/>
      <c r="BQ71" s="265"/>
      <c r="BR71" s="265"/>
      <c r="BS71" s="265"/>
      <c r="BT71" s="265"/>
      <c r="BU71" s="265"/>
      <c r="BV71" s="265"/>
      <c r="BW71" s="265"/>
      <c r="BX71" s="265"/>
      <c r="BY71" s="265"/>
      <c r="BZ71" s="265"/>
      <c r="CA71" s="336"/>
      <c r="CB71" s="336"/>
      <c r="CC71" s="336"/>
      <c r="CD71" s="265"/>
      <c r="CE71" s="266"/>
      <c r="CF71" s="266"/>
      <c r="CG71" s="266"/>
      <c r="CH71" s="266"/>
      <c r="CI71" s="266"/>
      <c r="CJ71" s="266"/>
      <c r="CK71" s="266"/>
      <c r="CL71" s="266"/>
      <c r="CM71" s="266"/>
      <c r="CN71" s="266"/>
      <c r="CO71" s="266"/>
      <c r="CP71" s="298"/>
      <c r="CQ71" s="266"/>
      <c r="CR71" s="266"/>
      <c r="CS71" s="266"/>
      <c r="CT71" s="267"/>
      <c r="CU71" s="267"/>
      <c r="CV71" s="267"/>
      <c r="CW71" s="267"/>
      <c r="CX71" s="267"/>
      <c r="CY71" s="267"/>
      <c r="CZ71" s="267"/>
      <c r="DA71" s="267"/>
      <c r="DB71" s="267"/>
      <c r="DC71" s="267"/>
      <c r="DD71" s="267"/>
      <c r="DE71" s="267"/>
      <c r="DF71" s="267"/>
      <c r="DG71" s="267"/>
      <c r="DH71" s="267"/>
      <c r="DI71" s="267"/>
      <c r="DJ71" s="268"/>
      <c r="DK71" s="268"/>
      <c r="DL71" s="268"/>
      <c r="DM71" s="268"/>
      <c r="DN71" s="268"/>
      <c r="DO71" s="268"/>
      <c r="DP71" s="268"/>
      <c r="DQ71" s="268"/>
      <c r="DR71" s="268"/>
      <c r="DS71" s="268"/>
      <c r="DT71" s="268"/>
      <c r="DU71" s="268"/>
      <c r="DV71" s="268"/>
      <c r="DW71" s="268"/>
    </row>
    <row r="72" spans="5:127" ht="12.75">
      <c r="BB72" s="264"/>
      <c r="BC72" s="264"/>
      <c r="BD72" s="264"/>
      <c r="BE72" s="264"/>
      <c r="BF72" s="264"/>
      <c r="BG72" s="264"/>
      <c r="BH72" s="264"/>
      <c r="BI72" s="264"/>
      <c r="BJ72" s="264"/>
      <c r="BK72" s="264"/>
      <c r="BL72" s="264"/>
      <c r="BM72" s="264"/>
      <c r="BN72" s="264"/>
      <c r="BO72" s="264"/>
      <c r="BP72" s="265"/>
      <c r="BQ72" s="265"/>
      <c r="BR72" s="265"/>
      <c r="BS72" s="265"/>
      <c r="BT72" s="265"/>
      <c r="BU72" s="265"/>
      <c r="BV72" s="265"/>
      <c r="BW72" s="265"/>
      <c r="BX72" s="265"/>
      <c r="BY72" s="265"/>
      <c r="BZ72" s="265"/>
      <c r="CA72" s="336"/>
      <c r="CB72" s="336"/>
      <c r="CC72" s="336"/>
      <c r="CD72" s="265"/>
      <c r="CE72" s="266"/>
      <c r="CF72" s="266"/>
      <c r="CG72" s="266"/>
      <c r="CH72" s="266"/>
      <c r="CI72" s="266"/>
      <c r="CJ72" s="266"/>
      <c r="CK72" s="266"/>
      <c r="CL72" s="266"/>
      <c r="CM72" s="266"/>
      <c r="CN72" s="266"/>
      <c r="CO72" s="266"/>
      <c r="CP72" s="266"/>
      <c r="CQ72" s="266"/>
      <c r="CR72" s="266"/>
      <c r="CS72" s="266"/>
      <c r="CT72" s="267"/>
      <c r="CU72" s="267"/>
      <c r="CV72" s="267"/>
      <c r="CW72" s="267"/>
      <c r="CX72" s="267"/>
      <c r="CY72" s="267"/>
      <c r="CZ72" s="267"/>
      <c r="DA72" s="267"/>
      <c r="DB72" s="267"/>
      <c r="DC72" s="267"/>
      <c r="DD72" s="267"/>
      <c r="DE72" s="267"/>
      <c r="DF72" s="267"/>
      <c r="DG72" s="267"/>
      <c r="DH72" s="267"/>
      <c r="DI72" s="267"/>
      <c r="DJ72" s="268"/>
      <c r="DK72" s="268"/>
      <c r="DL72" s="268"/>
      <c r="DM72" s="268"/>
      <c r="DN72" s="268"/>
      <c r="DO72" s="268"/>
      <c r="DP72" s="268"/>
      <c r="DQ72" s="268"/>
      <c r="DR72" s="268"/>
      <c r="DS72" s="268"/>
      <c r="DT72" s="268"/>
      <c r="DU72" s="268"/>
      <c r="DV72" s="268"/>
      <c r="DW72" s="268"/>
    </row>
    <row r="73" spans="5:127" ht="12.75">
      <c r="O73" s="364"/>
      <c r="BB73" s="264"/>
      <c r="BC73" s="264"/>
      <c r="BD73" s="264"/>
      <c r="BE73" s="264"/>
      <c r="BF73" s="264"/>
      <c r="BG73" s="264"/>
      <c r="BH73" s="264"/>
      <c r="BI73" s="264"/>
      <c r="BJ73" s="264"/>
      <c r="BK73" s="264"/>
      <c r="BL73" s="264"/>
      <c r="BM73" s="264"/>
      <c r="BN73" s="264"/>
      <c r="BO73" s="264"/>
      <c r="BP73" s="265"/>
      <c r="BQ73" s="265"/>
      <c r="BR73" s="265"/>
      <c r="BS73" s="265"/>
      <c r="BT73" s="265"/>
      <c r="BU73" s="265"/>
      <c r="BV73" s="265"/>
      <c r="BW73" s="265"/>
      <c r="BX73" s="265"/>
      <c r="BY73" s="265"/>
      <c r="BZ73" s="265"/>
      <c r="CA73" s="336"/>
      <c r="CB73" s="336"/>
      <c r="CC73" s="336"/>
      <c r="CD73" s="265"/>
      <c r="CE73" s="266"/>
      <c r="CF73" s="266"/>
      <c r="CG73" s="266"/>
      <c r="CH73" s="266"/>
      <c r="CI73" s="266"/>
      <c r="CJ73" s="266"/>
      <c r="CK73" s="266"/>
      <c r="CL73" s="266"/>
      <c r="CM73" s="266"/>
      <c r="CN73" s="266"/>
      <c r="CO73" s="266"/>
      <c r="CP73" s="343"/>
      <c r="CQ73" s="266"/>
      <c r="CR73" s="266"/>
      <c r="CS73" s="266"/>
      <c r="CT73" s="267"/>
      <c r="CU73" s="267"/>
      <c r="CV73" s="267"/>
      <c r="CW73" s="267"/>
      <c r="CX73" s="267"/>
      <c r="CY73" s="267"/>
      <c r="CZ73" s="267"/>
      <c r="DA73" s="267"/>
      <c r="DB73" s="267"/>
      <c r="DC73" s="267"/>
      <c r="DD73" s="267"/>
      <c r="DE73" s="267"/>
      <c r="DF73" s="267"/>
      <c r="DG73" s="267"/>
      <c r="DH73" s="267"/>
      <c r="DI73" s="267"/>
      <c r="DJ73" s="268"/>
      <c r="DK73" s="268"/>
      <c r="DL73" s="268"/>
      <c r="DM73" s="268"/>
      <c r="DN73" s="268"/>
      <c r="DO73" s="268"/>
      <c r="DP73" s="268"/>
      <c r="DQ73" s="268"/>
      <c r="DR73" s="268"/>
      <c r="DS73" s="268"/>
      <c r="DT73" s="268"/>
      <c r="DU73" s="268"/>
      <c r="DV73" s="268"/>
      <c r="DW73" s="268"/>
    </row>
    <row r="74" spans="5:127" ht="12.75">
      <c r="AF74" s="295"/>
      <c r="BB74" s="264"/>
      <c r="BC74" s="264"/>
      <c r="BD74" s="264"/>
      <c r="BE74" s="264"/>
      <c r="BF74" s="264"/>
      <c r="BG74" s="264"/>
      <c r="BH74" s="264"/>
      <c r="BI74" s="264"/>
      <c r="BJ74" s="264"/>
      <c r="BK74" s="264"/>
      <c r="BL74" s="264"/>
      <c r="BM74" s="264"/>
      <c r="BN74" s="264"/>
      <c r="BO74" s="264"/>
      <c r="BP74" s="265"/>
      <c r="BQ74" s="265"/>
      <c r="BR74" s="265"/>
      <c r="BS74" s="265"/>
      <c r="BT74" s="265"/>
      <c r="BU74" s="265"/>
      <c r="BV74" s="265"/>
      <c r="BW74" s="265"/>
      <c r="BX74" s="265"/>
      <c r="BY74" s="265"/>
      <c r="BZ74" s="265"/>
      <c r="CA74" s="336"/>
      <c r="CB74" s="336"/>
      <c r="CC74" s="336"/>
      <c r="CD74" s="265"/>
      <c r="CE74" s="266"/>
      <c r="CF74" s="266"/>
      <c r="CG74" s="266"/>
      <c r="CH74" s="266"/>
      <c r="CI74" s="266"/>
      <c r="CJ74" s="266"/>
      <c r="CK74" s="266"/>
      <c r="CL74" s="266"/>
      <c r="CM74" s="266"/>
      <c r="CN74" s="266"/>
      <c r="CO74" s="266"/>
      <c r="CP74" s="266"/>
      <c r="CQ74" s="266"/>
      <c r="CR74" s="266"/>
      <c r="CS74" s="266"/>
      <c r="CT74" s="267"/>
      <c r="CU74" s="267"/>
      <c r="CV74" s="267"/>
      <c r="CW74" s="267"/>
      <c r="CX74" s="267"/>
      <c r="CY74" s="267"/>
      <c r="CZ74" s="267"/>
      <c r="DA74" s="267"/>
      <c r="DB74" s="267"/>
      <c r="DC74" s="267"/>
      <c r="DD74" s="267"/>
      <c r="DE74" s="267"/>
      <c r="DF74" s="267"/>
      <c r="DG74" s="267"/>
      <c r="DH74" s="267"/>
      <c r="DI74" s="267"/>
      <c r="DJ74" s="268"/>
      <c r="DK74" s="268"/>
      <c r="DL74" s="268"/>
      <c r="DM74" s="268"/>
      <c r="DN74" s="268"/>
      <c r="DO74" s="268"/>
      <c r="DP74" s="268"/>
      <c r="DQ74" s="268"/>
      <c r="DR74" s="268"/>
      <c r="DS74" s="268"/>
      <c r="DT74" s="268"/>
      <c r="DU74" s="268"/>
      <c r="DV74" s="268"/>
      <c r="DW74" s="268"/>
    </row>
    <row r="75" spans="5:127" ht="12.75">
      <c r="E75" s="389"/>
      <c r="BB75" s="264"/>
      <c r="BC75" s="264"/>
      <c r="BD75" s="264"/>
      <c r="BE75" s="264"/>
      <c r="BF75" s="264"/>
      <c r="BG75" s="264"/>
      <c r="BH75" s="264"/>
      <c r="BI75" s="264"/>
      <c r="BJ75" s="264"/>
      <c r="BK75" s="264"/>
      <c r="BL75" s="264"/>
      <c r="BM75" s="264"/>
      <c r="BN75" s="264"/>
      <c r="BO75" s="264"/>
      <c r="BP75" s="265"/>
      <c r="BQ75" s="265"/>
      <c r="BR75" s="265"/>
      <c r="BS75" s="265"/>
      <c r="BT75" s="265"/>
      <c r="BU75" s="265"/>
      <c r="BV75" s="265"/>
      <c r="BW75" s="265"/>
      <c r="BX75" s="265"/>
      <c r="BY75" s="265"/>
      <c r="BZ75" s="265"/>
      <c r="CA75" s="336"/>
      <c r="CB75" s="336"/>
      <c r="CC75" s="336"/>
      <c r="CD75" s="265"/>
      <c r="CE75" s="266"/>
      <c r="CF75" s="266"/>
      <c r="CG75" s="266"/>
      <c r="CH75" s="266"/>
      <c r="CI75" s="266"/>
      <c r="CJ75" s="266"/>
      <c r="CK75" s="266"/>
      <c r="CL75" s="266"/>
      <c r="CM75" s="266"/>
      <c r="CN75" s="266"/>
      <c r="CO75" s="266"/>
      <c r="CP75" s="266"/>
      <c r="CQ75" s="266"/>
      <c r="CR75" s="266"/>
      <c r="CS75" s="266"/>
      <c r="CT75" s="267"/>
      <c r="CU75" s="267"/>
      <c r="CV75" s="267"/>
      <c r="CW75" s="267"/>
      <c r="CX75" s="267"/>
      <c r="CY75" s="267"/>
      <c r="CZ75" s="267"/>
      <c r="DA75" s="267"/>
      <c r="DB75" s="267"/>
      <c r="DC75" s="267"/>
      <c r="DD75" s="267"/>
      <c r="DE75" s="267"/>
      <c r="DF75" s="267"/>
      <c r="DG75" s="267"/>
      <c r="DH75" s="267"/>
      <c r="DI75" s="267"/>
      <c r="DJ75" s="268"/>
      <c r="DK75" s="268"/>
      <c r="DL75" s="268"/>
      <c r="DM75" s="268"/>
      <c r="DN75" s="268"/>
      <c r="DO75" s="268"/>
      <c r="DP75" s="268"/>
      <c r="DQ75" s="268"/>
      <c r="DR75" s="268"/>
      <c r="DS75" s="268"/>
      <c r="DT75" s="268"/>
      <c r="DU75" s="268"/>
      <c r="DV75" s="268"/>
      <c r="DW75" s="268"/>
    </row>
    <row r="76" spans="5:127">
      <c r="AD76" s="36" t="s">
        <v>131</v>
      </c>
      <c r="AE76" s="375">
        <v>2856000</v>
      </c>
      <c r="BB76" s="264"/>
      <c r="BC76" s="264"/>
      <c r="BD76" s="264"/>
      <c r="BE76" s="264"/>
      <c r="BF76" s="264"/>
      <c r="BG76" s="264"/>
      <c r="BH76" s="264"/>
      <c r="BI76" s="264"/>
      <c r="BJ76" s="264"/>
      <c r="BK76" s="264"/>
      <c r="BL76" s="264"/>
      <c r="BM76" s="264"/>
      <c r="BN76" s="264"/>
      <c r="BO76" s="264"/>
      <c r="BP76" s="265"/>
      <c r="BQ76" s="265"/>
      <c r="BR76" s="265"/>
      <c r="BS76" s="265"/>
      <c r="BT76" s="265"/>
      <c r="BU76" s="265"/>
      <c r="BV76" s="265"/>
      <c r="BW76" s="265"/>
      <c r="BX76" s="265"/>
      <c r="BY76" s="265"/>
      <c r="BZ76" s="265"/>
      <c r="CA76" s="390"/>
      <c r="CB76" s="390"/>
      <c r="CC76" s="390"/>
      <c r="CD76" s="265"/>
      <c r="CE76" s="266"/>
      <c r="CF76" s="266"/>
      <c r="CG76" s="266"/>
      <c r="CH76" s="266"/>
      <c r="CI76" s="266"/>
      <c r="CJ76" s="266"/>
      <c r="CK76" s="266"/>
      <c r="CL76" s="266"/>
      <c r="CM76" s="266"/>
      <c r="CN76" s="266"/>
      <c r="CO76" s="266"/>
      <c r="CP76" s="266"/>
      <c r="CQ76" s="266"/>
      <c r="CR76" s="266"/>
      <c r="CS76" s="266"/>
      <c r="CT76" s="267"/>
      <c r="CU76" s="267"/>
      <c r="CV76" s="267"/>
      <c r="CW76" s="267"/>
      <c r="CX76" s="267"/>
      <c r="CY76" s="267"/>
      <c r="CZ76" s="267"/>
      <c r="DA76" s="267"/>
      <c r="DB76" s="267"/>
      <c r="DC76" s="267"/>
      <c r="DD76" s="267"/>
      <c r="DE76" s="267"/>
      <c r="DF76" s="267"/>
      <c r="DG76" s="267"/>
      <c r="DH76" s="267"/>
      <c r="DI76" s="267"/>
      <c r="DJ76" s="268"/>
      <c r="DK76" s="268"/>
      <c r="DL76" s="268"/>
      <c r="DM76" s="268"/>
      <c r="DN76" s="268"/>
      <c r="DO76" s="268"/>
      <c r="DP76" s="268"/>
      <c r="DQ76" s="268"/>
      <c r="DR76" s="268"/>
      <c r="DS76" s="268"/>
      <c r="DT76" s="268"/>
      <c r="DU76" s="268"/>
      <c r="DV76" s="268"/>
      <c r="DW76" s="268"/>
    </row>
    <row r="77" spans="5:127" ht="18">
      <c r="AD77" s="12" t="s">
        <v>133</v>
      </c>
      <c r="AE77" s="391">
        <v>3.7999999999999999E-2</v>
      </c>
      <c r="BB77" s="264"/>
      <c r="BC77" s="264"/>
      <c r="BD77" s="264"/>
      <c r="BE77" s="264"/>
      <c r="BF77" s="264"/>
      <c r="BG77" s="264"/>
      <c r="BH77" s="264"/>
      <c r="BI77" s="264"/>
      <c r="BJ77" s="264"/>
      <c r="BK77" s="264"/>
      <c r="BL77" s="264"/>
      <c r="BM77" s="264"/>
      <c r="BN77" s="264"/>
      <c r="BO77" s="264"/>
      <c r="BP77" s="265"/>
      <c r="BQ77" s="265"/>
      <c r="BR77" s="265"/>
      <c r="BS77" s="265"/>
      <c r="BT77" s="265"/>
      <c r="BU77" s="265"/>
      <c r="BV77" s="265"/>
      <c r="BW77" s="265"/>
      <c r="BX77" s="265"/>
      <c r="BY77" s="265"/>
      <c r="BZ77" s="265"/>
      <c r="CA77" s="390"/>
      <c r="CB77" s="390"/>
      <c r="CC77" s="390"/>
      <c r="CD77" s="265"/>
      <c r="CE77" s="266"/>
      <c r="CF77" s="266"/>
      <c r="CG77" s="266"/>
      <c r="CH77" s="266"/>
      <c r="CI77" s="266"/>
      <c r="CJ77" s="266"/>
      <c r="CK77" s="266"/>
      <c r="CL77" s="266"/>
      <c r="CM77" s="266"/>
      <c r="CN77" s="266"/>
      <c r="CO77" s="266"/>
      <c r="CP77" s="266"/>
      <c r="CQ77" s="266"/>
      <c r="CR77" s="266"/>
      <c r="CS77" s="266"/>
      <c r="CT77" s="105"/>
      <c r="CU77" s="267"/>
      <c r="CV77" s="267"/>
      <c r="CW77" s="267"/>
      <c r="CX77" s="267"/>
      <c r="CY77" s="267"/>
      <c r="CZ77" s="267"/>
      <c r="DA77" s="267"/>
      <c r="DB77" s="267"/>
      <c r="DC77" s="267"/>
      <c r="DD77" s="267"/>
      <c r="DE77" s="267"/>
      <c r="DF77" s="267"/>
      <c r="DG77" s="267"/>
      <c r="DH77" s="267"/>
      <c r="DI77" s="267"/>
      <c r="DJ77" s="268"/>
      <c r="DK77" s="268"/>
      <c r="DL77" s="268"/>
      <c r="DM77" s="268"/>
      <c r="DN77" s="268"/>
      <c r="DO77" s="268"/>
      <c r="DP77" s="268"/>
      <c r="DQ77" s="268"/>
      <c r="DR77" s="268"/>
      <c r="DS77" s="268"/>
      <c r="DT77" s="268"/>
      <c r="DU77" s="268"/>
      <c r="DV77" s="268"/>
      <c r="DW77" s="268"/>
    </row>
    <row r="78" spans="5:127">
      <c r="AE78" s="375">
        <f>AE76*AE77</f>
        <v>108528</v>
      </c>
      <c r="AF78" s="12" t="s">
        <v>132</v>
      </c>
      <c r="BB78" s="264"/>
      <c r="BC78" s="264"/>
      <c r="BD78" s="264"/>
      <c r="BE78" s="264"/>
      <c r="BF78" s="264"/>
      <c r="BG78" s="264"/>
      <c r="BH78" s="264"/>
      <c r="BI78" s="264"/>
      <c r="BJ78" s="264"/>
      <c r="BK78" s="264"/>
      <c r="BL78" s="264"/>
      <c r="BM78" s="264"/>
      <c r="BN78" s="264"/>
      <c r="BO78" s="264"/>
      <c r="BP78" s="265"/>
      <c r="BQ78" s="265"/>
      <c r="BR78" s="265"/>
      <c r="BS78" s="265"/>
      <c r="BT78" s="265"/>
      <c r="BU78" s="265"/>
      <c r="BV78" s="265"/>
      <c r="BW78" s="265"/>
      <c r="BX78" s="265"/>
      <c r="BY78" s="265"/>
      <c r="BZ78" s="265"/>
      <c r="CA78" s="390"/>
      <c r="CB78" s="390"/>
      <c r="CC78" s="390"/>
      <c r="CD78" s="265"/>
      <c r="CE78" s="266"/>
      <c r="CF78" s="266"/>
      <c r="CG78" s="266"/>
      <c r="CH78" s="266"/>
      <c r="CI78" s="266"/>
      <c r="CJ78" s="266"/>
      <c r="CK78" s="266"/>
      <c r="CL78" s="266"/>
      <c r="CM78" s="266"/>
      <c r="CN78" s="266"/>
      <c r="CO78" s="266"/>
      <c r="CP78" s="266"/>
      <c r="CQ78" s="266"/>
      <c r="CR78" s="266"/>
      <c r="CS78" s="266"/>
      <c r="CT78" s="267"/>
      <c r="CU78" s="267"/>
      <c r="CV78" s="267"/>
      <c r="CW78" s="267"/>
      <c r="CX78" s="267"/>
      <c r="CY78" s="267"/>
      <c r="CZ78" s="267"/>
      <c r="DA78" s="267"/>
      <c r="DB78" s="267"/>
      <c r="DC78" s="267"/>
      <c r="DD78" s="267"/>
      <c r="DE78" s="267"/>
      <c r="DF78" s="267"/>
      <c r="DG78" s="267"/>
      <c r="DH78" s="267"/>
      <c r="DI78" s="267"/>
      <c r="DJ78" s="268"/>
      <c r="DK78" s="268"/>
      <c r="DL78" s="268"/>
      <c r="DM78" s="268"/>
      <c r="DN78" s="268"/>
      <c r="DO78" s="268"/>
      <c r="DP78" s="268"/>
      <c r="DQ78" s="268"/>
      <c r="DR78" s="268"/>
      <c r="DS78" s="268"/>
      <c r="DT78" s="268"/>
      <c r="DU78" s="268"/>
      <c r="DV78" s="268"/>
      <c r="DW78" s="268"/>
    </row>
    <row r="79" spans="5:127">
      <c r="BB79" s="264"/>
      <c r="BC79" s="264"/>
      <c r="BD79" s="264"/>
      <c r="BE79" s="264"/>
      <c r="BF79" s="264"/>
      <c r="BG79" s="264"/>
      <c r="BH79" s="264"/>
      <c r="BI79" s="264"/>
      <c r="BJ79" s="264"/>
      <c r="BK79" s="264"/>
      <c r="BL79" s="264"/>
      <c r="BM79" s="264"/>
      <c r="BN79" s="264"/>
      <c r="BO79" s="264"/>
      <c r="BP79" s="265"/>
      <c r="BQ79" s="265"/>
      <c r="BR79" s="265"/>
      <c r="BS79" s="265"/>
      <c r="BT79" s="265"/>
      <c r="BU79" s="265"/>
      <c r="BV79" s="265"/>
      <c r="BW79" s="265"/>
      <c r="BX79" s="265"/>
      <c r="BY79" s="265"/>
      <c r="BZ79" s="265"/>
      <c r="CA79" s="390"/>
      <c r="CB79" s="390"/>
      <c r="CC79" s="390"/>
      <c r="CD79" s="265"/>
      <c r="CE79" s="266"/>
      <c r="CF79" s="266"/>
      <c r="CG79" s="266"/>
      <c r="CH79" s="266"/>
      <c r="CI79" s="266"/>
      <c r="CJ79" s="266"/>
      <c r="CK79" s="266"/>
      <c r="CL79" s="266"/>
      <c r="CM79" s="266"/>
      <c r="CN79" s="266"/>
      <c r="CO79" s="266"/>
      <c r="CP79" s="266"/>
      <c r="CQ79" s="266"/>
      <c r="CR79" s="266"/>
      <c r="CS79" s="266"/>
      <c r="CT79" s="267"/>
      <c r="CU79" s="267"/>
      <c r="CV79" s="267"/>
      <c r="CW79" s="267"/>
      <c r="CX79" s="267"/>
      <c r="CY79" s="267"/>
      <c r="CZ79" s="267"/>
      <c r="DA79" s="267"/>
      <c r="DB79" s="267"/>
      <c r="DC79" s="267"/>
      <c r="DD79" s="267"/>
      <c r="DE79" s="267"/>
      <c r="DF79" s="267"/>
      <c r="DG79" s="267"/>
      <c r="DH79" s="267"/>
      <c r="DI79" s="267"/>
      <c r="DJ79" s="268"/>
      <c r="DK79" s="268"/>
      <c r="DL79" s="268"/>
      <c r="DM79" s="268"/>
      <c r="DN79" s="268"/>
      <c r="DO79" s="268"/>
      <c r="DP79" s="268"/>
      <c r="DQ79" s="268"/>
      <c r="DR79" s="268"/>
      <c r="DS79" s="268"/>
      <c r="DT79" s="268"/>
      <c r="DU79" s="268"/>
      <c r="DV79" s="268"/>
      <c r="DW79" s="268"/>
    </row>
    <row r="80" spans="5:127">
      <c r="BB80" s="264"/>
      <c r="BC80" s="264"/>
      <c r="BD80" s="264"/>
      <c r="BE80" s="264"/>
      <c r="BF80" s="264"/>
      <c r="BG80" s="264"/>
      <c r="BH80" s="264"/>
      <c r="BI80" s="264"/>
      <c r="BJ80" s="264"/>
      <c r="BK80" s="264"/>
      <c r="BL80" s="264"/>
      <c r="BM80" s="264"/>
      <c r="BN80" s="264"/>
      <c r="BO80" s="264"/>
      <c r="BP80" s="265"/>
      <c r="BQ80" s="265"/>
      <c r="BR80" s="265"/>
      <c r="BS80" s="265"/>
      <c r="BT80" s="265"/>
      <c r="BU80" s="265"/>
      <c r="BV80" s="265"/>
      <c r="BW80" s="265"/>
      <c r="BX80" s="265"/>
      <c r="BY80" s="265"/>
      <c r="BZ80" s="265"/>
      <c r="CA80" s="390"/>
      <c r="CB80" s="390"/>
      <c r="CC80" s="390"/>
      <c r="CD80" s="265"/>
      <c r="CE80" s="266"/>
      <c r="CF80" s="266"/>
      <c r="CG80" s="266"/>
      <c r="CH80" s="266"/>
      <c r="CI80" s="266"/>
      <c r="CJ80" s="266"/>
      <c r="CK80" s="266"/>
      <c r="CL80" s="266"/>
      <c r="CM80" s="266"/>
      <c r="CN80" s="266"/>
      <c r="CO80" s="266"/>
      <c r="CP80" s="266"/>
      <c r="CQ80" s="266"/>
      <c r="CR80" s="266"/>
      <c r="CS80" s="266"/>
      <c r="CT80" s="267"/>
      <c r="CU80" s="267"/>
      <c r="CV80" s="267"/>
      <c r="CW80" s="267"/>
      <c r="CX80" s="267"/>
      <c r="CY80" s="267"/>
      <c r="CZ80" s="267"/>
      <c r="DA80" s="267"/>
      <c r="DB80" s="267"/>
      <c r="DC80" s="267"/>
      <c r="DD80" s="267"/>
      <c r="DE80" s="267"/>
      <c r="DF80" s="267"/>
      <c r="DG80" s="267"/>
      <c r="DH80" s="267"/>
      <c r="DI80" s="267"/>
      <c r="DJ80" s="268"/>
      <c r="DK80" s="268"/>
      <c r="DL80" s="268"/>
      <c r="DM80" s="268"/>
      <c r="DN80" s="268"/>
      <c r="DO80" s="268"/>
      <c r="DP80" s="268"/>
      <c r="DQ80" s="268"/>
      <c r="DR80" s="268"/>
      <c r="DS80" s="268"/>
      <c r="DT80" s="268"/>
      <c r="DU80" s="268"/>
      <c r="DV80" s="268"/>
      <c r="DW80" s="268"/>
    </row>
    <row r="81" spans="12:127">
      <c r="BB81" s="264"/>
      <c r="BC81" s="264"/>
      <c r="BD81" s="264"/>
      <c r="BE81" s="264"/>
      <c r="BF81" s="264"/>
      <c r="BG81" s="264"/>
      <c r="BH81" s="264"/>
      <c r="BI81" s="264"/>
      <c r="BJ81" s="264"/>
      <c r="BK81" s="264"/>
      <c r="BL81" s="264"/>
      <c r="BM81" s="264"/>
      <c r="BN81" s="264"/>
      <c r="BO81" s="264"/>
      <c r="BP81" s="265"/>
      <c r="BQ81" s="265"/>
      <c r="BR81" s="265"/>
      <c r="BS81" s="265"/>
      <c r="BT81" s="265"/>
      <c r="BU81" s="265"/>
      <c r="BV81" s="265"/>
      <c r="BW81" s="265"/>
      <c r="BX81" s="265"/>
      <c r="BY81" s="265"/>
      <c r="BZ81" s="265"/>
      <c r="CA81" s="390"/>
      <c r="CB81" s="390"/>
      <c r="CC81" s="390"/>
      <c r="CD81" s="265"/>
      <c r="CE81" s="266"/>
      <c r="CF81" s="266"/>
      <c r="CG81" s="266"/>
      <c r="CH81" s="266"/>
      <c r="CI81" s="266"/>
      <c r="CJ81" s="266"/>
      <c r="CK81" s="266"/>
      <c r="CL81" s="266"/>
      <c r="CM81" s="266"/>
      <c r="CN81" s="266"/>
      <c r="CO81" s="266"/>
      <c r="CP81" s="266"/>
      <c r="CQ81" s="266"/>
      <c r="CR81" s="266"/>
      <c r="CS81" s="266"/>
      <c r="CT81" s="267"/>
      <c r="CU81" s="267"/>
      <c r="CV81" s="267"/>
      <c r="CW81" s="267"/>
      <c r="CX81" s="267"/>
      <c r="CY81" s="267"/>
      <c r="CZ81" s="267"/>
      <c r="DA81" s="267"/>
      <c r="DB81" s="267"/>
      <c r="DC81" s="267"/>
      <c r="DD81" s="267"/>
      <c r="DE81" s="267"/>
      <c r="DF81" s="267"/>
      <c r="DG81" s="267"/>
      <c r="DH81" s="267"/>
      <c r="DI81" s="267"/>
      <c r="DJ81" s="268"/>
      <c r="DK81" s="268"/>
      <c r="DL81" s="268"/>
      <c r="DM81" s="268"/>
      <c r="DN81" s="268"/>
      <c r="DO81" s="268"/>
      <c r="DP81" s="268"/>
      <c r="DQ81" s="268"/>
      <c r="DR81" s="268"/>
      <c r="DS81" s="268"/>
      <c r="DT81" s="268"/>
      <c r="DU81" s="268"/>
      <c r="DV81" s="268"/>
      <c r="DW81" s="268"/>
    </row>
    <row r="82" spans="12:127">
      <c r="BB82" s="264"/>
      <c r="BC82" s="264"/>
      <c r="BD82" s="264"/>
      <c r="BE82" s="264"/>
      <c r="BF82" s="264"/>
      <c r="BG82" s="264"/>
      <c r="BH82" s="264"/>
      <c r="BI82" s="264"/>
      <c r="BJ82" s="264"/>
      <c r="BK82" s="264"/>
      <c r="BL82" s="264"/>
      <c r="BM82" s="264"/>
      <c r="BN82" s="264"/>
      <c r="BO82" s="264"/>
      <c r="BP82" s="265"/>
      <c r="BQ82" s="265"/>
      <c r="BR82" s="265"/>
      <c r="BS82" s="265"/>
      <c r="BT82" s="265"/>
      <c r="BU82" s="265"/>
      <c r="BV82" s="265"/>
      <c r="BW82" s="265"/>
      <c r="BX82" s="265"/>
      <c r="BY82" s="265"/>
      <c r="BZ82" s="265"/>
      <c r="CA82" s="265"/>
      <c r="CB82" s="265"/>
      <c r="CC82" s="265"/>
      <c r="CD82" s="265"/>
      <c r="CE82" s="266"/>
      <c r="CF82" s="266"/>
      <c r="CG82" s="266"/>
      <c r="CH82" s="266"/>
      <c r="CI82" s="266"/>
      <c r="CJ82" s="266"/>
      <c r="CK82" s="266"/>
      <c r="CL82" s="266"/>
      <c r="CM82" s="266"/>
      <c r="CN82" s="266"/>
      <c r="CO82" s="266"/>
      <c r="CP82" s="266"/>
      <c r="CQ82" s="266"/>
      <c r="CR82" s="266"/>
      <c r="CS82" s="266"/>
      <c r="CT82" s="267"/>
      <c r="CU82" s="267"/>
      <c r="CV82" s="267"/>
      <c r="CW82" s="267"/>
      <c r="CX82" s="267"/>
      <c r="CY82" s="267"/>
      <c r="CZ82" s="267"/>
      <c r="DA82" s="267"/>
      <c r="DB82" s="267"/>
      <c r="DC82" s="267"/>
      <c r="DD82" s="267"/>
      <c r="DE82" s="267"/>
      <c r="DF82" s="267"/>
      <c r="DG82" s="267"/>
      <c r="DH82" s="267"/>
      <c r="DI82" s="267"/>
      <c r="DJ82" s="268"/>
      <c r="DK82" s="268"/>
      <c r="DL82" s="268"/>
      <c r="DM82" s="268"/>
      <c r="DN82" s="268"/>
      <c r="DO82" s="268"/>
      <c r="DP82" s="268"/>
      <c r="DQ82" s="268"/>
      <c r="DR82" s="268"/>
      <c r="DS82" s="268"/>
      <c r="DT82" s="268"/>
      <c r="DU82" s="268"/>
      <c r="DV82" s="268"/>
      <c r="DW82" s="268"/>
    </row>
    <row r="83" spans="12:127">
      <c r="BB83" s="264"/>
      <c r="BC83" s="264"/>
      <c r="BD83" s="264"/>
      <c r="BE83" s="264"/>
      <c r="BF83" s="264"/>
      <c r="BG83" s="264"/>
      <c r="BH83" s="264"/>
      <c r="BI83" s="264"/>
      <c r="BJ83" s="264"/>
      <c r="BK83" s="264"/>
      <c r="BL83" s="264"/>
      <c r="BM83" s="264"/>
      <c r="BN83" s="264"/>
      <c r="BO83" s="264"/>
      <c r="BP83" s="265"/>
      <c r="BQ83" s="265"/>
      <c r="BR83" s="265"/>
      <c r="BS83" s="265"/>
      <c r="BT83" s="265"/>
      <c r="BU83" s="265"/>
      <c r="BV83" s="265"/>
      <c r="BW83" s="265"/>
      <c r="BX83" s="265"/>
      <c r="BY83" s="265"/>
      <c r="BZ83" s="265"/>
      <c r="CA83" s="265"/>
      <c r="CB83" s="265"/>
      <c r="CC83" s="265"/>
      <c r="CD83" s="265"/>
      <c r="CE83" s="266"/>
      <c r="CF83" s="266"/>
      <c r="CG83" s="266"/>
      <c r="CH83" s="266"/>
      <c r="CI83" s="266"/>
      <c r="CJ83" s="266"/>
      <c r="CK83" s="266"/>
      <c r="CL83" s="266"/>
      <c r="CM83" s="266"/>
      <c r="CN83" s="266"/>
      <c r="CO83" s="266"/>
      <c r="CP83" s="266"/>
      <c r="CQ83" s="266"/>
      <c r="CR83" s="266"/>
      <c r="CS83" s="266"/>
      <c r="CT83" s="267"/>
      <c r="CU83" s="267"/>
      <c r="CV83" s="267"/>
      <c r="CW83" s="267"/>
      <c r="CX83" s="267"/>
      <c r="CY83" s="267"/>
      <c r="CZ83" s="267"/>
      <c r="DA83" s="267"/>
      <c r="DB83" s="267"/>
      <c r="DC83" s="267"/>
      <c r="DD83" s="267"/>
      <c r="DE83" s="267"/>
      <c r="DF83" s="267"/>
      <c r="DG83" s="267"/>
      <c r="DH83" s="267"/>
      <c r="DI83" s="267"/>
      <c r="DJ83" s="268"/>
      <c r="DK83" s="268"/>
      <c r="DL83" s="268"/>
      <c r="DM83" s="268"/>
      <c r="DN83" s="268"/>
      <c r="DO83" s="268"/>
      <c r="DP83" s="268"/>
      <c r="DQ83" s="268"/>
      <c r="DR83" s="268"/>
      <c r="DS83" s="268"/>
      <c r="DT83" s="268"/>
      <c r="DU83" s="268"/>
      <c r="DV83" s="268"/>
      <c r="DW83" s="268"/>
    </row>
    <row r="84" spans="12:127">
      <c r="BB84" s="264"/>
      <c r="BC84" s="264"/>
      <c r="BD84" s="264"/>
      <c r="BE84" s="264"/>
      <c r="BF84" s="264"/>
      <c r="BG84" s="264"/>
      <c r="BH84" s="264"/>
      <c r="BI84" s="264"/>
      <c r="BJ84" s="264"/>
      <c r="BK84" s="264"/>
      <c r="BL84" s="264"/>
      <c r="BM84" s="264"/>
      <c r="BN84" s="264"/>
      <c r="BO84" s="264"/>
      <c r="BP84" s="265"/>
      <c r="BQ84" s="265"/>
      <c r="BR84" s="265"/>
      <c r="BS84" s="265"/>
      <c r="BT84" s="265"/>
      <c r="BU84" s="265"/>
      <c r="BV84" s="265"/>
      <c r="BW84" s="265"/>
      <c r="BX84" s="265"/>
      <c r="BY84" s="265"/>
      <c r="BZ84" s="265"/>
      <c r="CA84" s="265"/>
      <c r="CB84" s="265"/>
      <c r="CC84" s="265"/>
      <c r="CD84" s="265"/>
      <c r="CE84" s="266"/>
      <c r="CF84" s="266"/>
      <c r="CG84" s="266"/>
      <c r="CH84" s="266"/>
      <c r="CI84" s="266"/>
      <c r="CJ84" s="266"/>
      <c r="CK84" s="266"/>
      <c r="CL84" s="266"/>
      <c r="CM84" s="266"/>
      <c r="CN84" s="266"/>
      <c r="CO84" s="266"/>
      <c r="CP84" s="266"/>
      <c r="CQ84" s="266"/>
      <c r="CR84" s="266"/>
      <c r="CS84" s="266"/>
      <c r="CT84" s="267"/>
      <c r="CU84" s="267"/>
      <c r="CV84" s="267"/>
      <c r="CW84" s="267"/>
      <c r="CX84" s="267"/>
      <c r="CY84" s="267"/>
      <c r="CZ84" s="267"/>
      <c r="DA84" s="267"/>
      <c r="DB84" s="267"/>
      <c r="DC84" s="267"/>
      <c r="DD84" s="267"/>
      <c r="DE84" s="267"/>
      <c r="DF84" s="267"/>
      <c r="DG84" s="267"/>
      <c r="DH84" s="267"/>
      <c r="DI84" s="267"/>
      <c r="DJ84" s="268"/>
      <c r="DK84" s="268"/>
      <c r="DL84" s="268"/>
      <c r="DM84" s="268"/>
      <c r="DN84" s="268"/>
      <c r="DO84" s="268"/>
      <c r="DP84" s="268"/>
      <c r="DQ84" s="268"/>
      <c r="DR84" s="268"/>
      <c r="DS84" s="268"/>
      <c r="DT84" s="268"/>
      <c r="DU84" s="268"/>
      <c r="DV84" s="268"/>
      <c r="DW84" s="268"/>
    </row>
    <row r="85" spans="12:127">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row>
    <row r="86" spans="12:127">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row>
    <row r="87" spans="12:127">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row>
    <row r="88" spans="12:127">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row>
    <row r="89" spans="12:127">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row>
    <row r="90" spans="12:127">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row>
    <row r="91" spans="12:127">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row>
    <row r="92" spans="12:127">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row>
    <row r="93" spans="12:127">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row>
    <row r="94" spans="12:127">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row>
    <row r="95" spans="12:127">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row>
    <row r="96" spans="12:127">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row>
    <row r="97" s="10" customFormat="1"/>
    <row r="98" s="10" customFormat="1"/>
    <row r="99" s="10" customFormat="1"/>
    <row r="100" s="10" customFormat="1"/>
    <row r="101" s="10" customFormat="1"/>
    <row r="102" s="10" customFormat="1"/>
    <row r="103" s="10" customFormat="1"/>
    <row r="104" s="10" customFormat="1"/>
    <row r="105" s="10" customFormat="1"/>
    <row r="106" s="10" customFormat="1"/>
    <row r="107" s="10" customFormat="1"/>
    <row r="108" s="10" customFormat="1"/>
    <row r="109" s="10" customFormat="1"/>
    <row r="110" s="10" customFormat="1"/>
    <row r="111" s="10" customFormat="1"/>
    <row r="112" s="10" customFormat="1"/>
    <row r="113" s="10" customFormat="1"/>
    <row r="114" s="10" customFormat="1"/>
    <row r="115" s="10" customFormat="1"/>
    <row r="116" s="10" customFormat="1"/>
    <row r="117" s="10" customFormat="1"/>
    <row r="118" s="10" customFormat="1"/>
    <row r="119" s="10" customFormat="1"/>
    <row r="120" s="10" customFormat="1"/>
    <row r="121" s="10" customFormat="1"/>
    <row r="122" s="10" customFormat="1"/>
    <row r="123" s="10" customFormat="1"/>
    <row r="124" s="10" customFormat="1"/>
    <row r="125" s="10" customFormat="1"/>
    <row r="126" s="10" customFormat="1"/>
    <row r="127" s="10" customFormat="1"/>
    <row r="128" s="10" customFormat="1"/>
    <row r="129" s="10" customFormat="1"/>
    <row r="130" s="10" customFormat="1"/>
    <row r="131" s="10" customFormat="1"/>
    <row r="132" s="10" customFormat="1"/>
    <row r="133" s="10" customFormat="1"/>
    <row r="134" s="10" customFormat="1"/>
    <row r="135" s="10" customFormat="1"/>
    <row r="136" s="10" customFormat="1"/>
    <row r="137" s="10" customFormat="1"/>
    <row r="138" s="10" customFormat="1"/>
    <row r="139" s="10" customFormat="1"/>
    <row r="140" s="10" customFormat="1"/>
    <row r="141" s="10" customFormat="1"/>
    <row r="142" s="10" customFormat="1"/>
    <row r="143" s="10" customFormat="1"/>
    <row r="144" s="10" customFormat="1"/>
    <row r="145" s="10" customFormat="1"/>
    <row r="146" s="10" customFormat="1"/>
    <row r="147" s="10" customFormat="1"/>
    <row r="148" s="10" customFormat="1"/>
    <row r="149" s="10" customFormat="1"/>
    <row r="150" s="10" customFormat="1"/>
    <row r="151" s="10" customFormat="1"/>
    <row r="152" s="10" customFormat="1"/>
    <row r="153" s="10" customFormat="1"/>
    <row r="154" s="10" customFormat="1"/>
    <row r="155" s="10" customFormat="1"/>
    <row r="156" s="10" customFormat="1"/>
    <row r="157" s="10" customFormat="1"/>
    <row r="158" s="10" customFormat="1"/>
    <row r="159" s="10" customFormat="1"/>
    <row r="160" s="10" customFormat="1"/>
    <row r="161" s="10" customFormat="1"/>
    <row r="162" s="10" customFormat="1"/>
    <row r="163" s="10" customFormat="1"/>
    <row r="164" s="10" customFormat="1"/>
    <row r="165" s="10" customFormat="1"/>
    <row r="166" s="10" customFormat="1"/>
    <row r="167" s="10" customFormat="1"/>
    <row r="168" s="10" customFormat="1"/>
    <row r="169" s="10" customFormat="1"/>
    <row r="170" s="10" customFormat="1"/>
    <row r="171" s="10" customFormat="1"/>
    <row r="172" s="10" customFormat="1"/>
    <row r="173" s="10" customFormat="1"/>
    <row r="174" s="10" customFormat="1"/>
    <row r="175" s="10" customFormat="1"/>
    <row r="176" s="10" customFormat="1"/>
    <row r="177" s="10" customFormat="1"/>
    <row r="178" s="10" customFormat="1"/>
    <row r="179" s="10" customFormat="1"/>
    <row r="180" s="10" customFormat="1"/>
    <row r="181" s="10" customFormat="1"/>
    <row r="182" s="10" customFormat="1"/>
    <row r="183" s="10" customFormat="1"/>
    <row r="184" s="10" customFormat="1"/>
    <row r="185" s="10" customFormat="1"/>
    <row r="186" s="10" customFormat="1"/>
    <row r="187" s="10" customFormat="1"/>
    <row r="188" s="10" customFormat="1"/>
    <row r="189" s="10" customFormat="1"/>
    <row r="190" s="10" customFormat="1"/>
    <row r="191" s="10" customFormat="1"/>
    <row r="192" s="10" customFormat="1"/>
    <row r="193" s="10" customFormat="1"/>
    <row r="194" s="10" customFormat="1"/>
    <row r="195" s="10" customFormat="1"/>
    <row r="196" s="10" customFormat="1"/>
    <row r="197" s="10" customFormat="1"/>
    <row r="198" s="10" customFormat="1"/>
    <row r="199" s="10" customFormat="1"/>
    <row r="200" s="10" customFormat="1"/>
    <row r="201" s="10" customFormat="1"/>
    <row r="202" s="10" customFormat="1"/>
    <row r="203" s="10" customFormat="1"/>
    <row r="204" s="10" customFormat="1"/>
    <row r="205" s="10" customFormat="1"/>
    <row r="206" s="10" customFormat="1"/>
    <row r="207" s="10" customFormat="1"/>
    <row r="208" s="10" customFormat="1"/>
    <row r="209" s="10" customFormat="1"/>
    <row r="210" s="10" customFormat="1"/>
    <row r="211" s="10" customFormat="1"/>
    <row r="212" s="10" customFormat="1"/>
    <row r="213" s="10" customFormat="1"/>
    <row r="214" s="10" customFormat="1"/>
    <row r="215" s="10" customFormat="1"/>
    <row r="216" s="10" customFormat="1"/>
    <row r="217" s="10" customFormat="1"/>
    <row r="218" s="10" customFormat="1"/>
    <row r="219" s="10" customFormat="1"/>
    <row r="220" s="10" customFormat="1"/>
    <row r="221" s="10" customFormat="1"/>
    <row r="222" s="10" customFormat="1"/>
    <row r="223" s="10" customFormat="1"/>
    <row r="224" s="10" customFormat="1"/>
    <row r="225" s="10" customFormat="1"/>
    <row r="226" s="10" customFormat="1"/>
    <row r="227" s="10" customFormat="1"/>
    <row r="228" s="10" customFormat="1"/>
    <row r="229" s="10" customFormat="1"/>
    <row r="230" s="10" customFormat="1"/>
    <row r="231" s="10" customFormat="1"/>
    <row r="232" s="10" customFormat="1"/>
    <row r="233" s="10" customFormat="1"/>
    <row r="234" s="10" customFormat="1"/>
    <row r="235" s="10" customFormat="1"/>
    <row r="236" s="10" customFormat="1"/>
    <row r="237" s="10" customFormat="1"/>
    <row r="238" s="10" customFormat="1"/>
    <row r="239" s="10" customFormat="1"/>
    <row r="240" s="10" customFormat="1"/>
    <row r="241" s="10" customFormat="1"/>
    <row r="242" s="10" customFormat="1"/>
    <row r="243" s="10" customFormat="1"/>
    <row r="244" s="10" customFormat="1"/>
    <row r="245" s="10" customFormat="1"/>
    <row r="246" s="10" customFormat="1"/>
    <row r="247" s="10" customFormat="1"/>
    <row r="248" s="10" customFormat="1"/>
    <row r="249" s="10" customFormat="1"/>
    <row r="250" s="10" customFormat="1"/>
    <row r="251" s="10" customFormat="1"/>
    <row r="252" s="10" customFormat="1"/>
    <row r="253" s="10" customFormat="1"/>
    <row r="254" s="10" customFormat="1"/>
    <row r="255" s="10" customFormat="1"/>
    <row r="256" s="10" customFormat="1"/>
    <row r="257" s="10" customFormat="1"/>
    <row r="258" s="10" customFormat="1"/>
    <row r="259" s="10" customFormat="1"/>
    <row r="260" s="10" customFormat="1"/>
    <row r="261" s="10" customFormat="1"/>
    <row r="262" s="10" customFormat="1"/>
    <row r="263" s="10" customFormat="1"/>
    <row r="264" s="10" customFormat="1"/>
    <row r="265" s="10" customFormat="1"/>
    <row r="266" s="10" customFormat="1"/>
    <row r="267" s="10" customFormat="1"/>
    <row r="268" s="10" customFormat="1"/>
    <row r="269" s="10" customFormat="1"/>
    <row r="270" s="10" customFormat="1"/>
    <row r="271" s="10" customFormat="1"/>
    <row r="272" s="10" customFormat="1"/>
    <row r="273" s="10" customFormat="1"/>
    <row r="274" s="10" customFormat="1"/>
    <row r="275" s="10" customFormat="1"/>
    <row r="276" s="10" customFormat="1"/>
    <row r="277" s="10" customFormat="1"/>
    <row r="278" s="10" customFormat="1"/>
    <row r="279" s="10" customFormat="1"/>
    <row r="280" s="10" customFormat="1"/>
    <row r="281" s="10" customFormat="1"/>
    <row r="282" s="10" customFormat="1"/>
    <row r="283" s="10" customFormat="1"/>
    <row r="284" s="10" customFormat="1"/>
    <row r="285" s="10" customFormat="1"/>
    <row r="286" s="10" customFormat="1"/>
    <row r="287" s="10" customFormat="1"/>
    <row r="288" s="10" customFormat="1"/>
    <row r="289" s="10" customFormat="1"/>
    <row r="290" s="10" customFormat="1"/>
    <row r="291" s="10" customFormat="1"/>
    <row r="292" s="10" customFormat="1"/>
    <row r="293" s="10" customFormat="1"/>
    <row r="294" s="10" customFormat="1"/>
    <row r="295" s="10" customFormat="1"/>
    <row r="296" s="10" customFormat="1"/>
    <row r="297" s="10" customFormat="1"/>
    <row r="298" s="10" customFormat="1"/>
    <row r="299" s="10" customFormat="1"/>
    <row r="300" s="10" customFormat="1"/>
    <row r="301" s="10" customFormat="1"/>
    <row r="302" s="10" customFormat="1"/>
    <row r="303" s="10" customFormat="1"/>
    <row r="304" s="10" customFormat="1"/>
    <row r="305" s="10" customFormat="1"/>
    <row r="306" s="10" customFormat="1"/>
    <row r="307" s="10" customFormat="1"/>
    <row r="308" s="10" customFormat="1"/>
    <row r="309" s="10" customFormat="1"/>
    <row r="310" s="10" customFormat="1"/>
    <row r="311" s="10" customFormat="1"/>
    <row r="312" s="10" customFormat="1"/>
    <row r="313" s="10" customFormat="1"/>
    <row r="314" s="10" customFormat="1"/>
    <row r="315" s="10" customFormat="1"/>
    <row r="316" s="10" customFormat="1"/>
    <row r="317" s="10" customFormat="1"/>
    <row r="318" s="10" customFormat="1"/>
    <row r="319" s="10" customFormat="1"/>
    <row r="320" s="10" customFormat="1"/>
    <row r="321" s="10" customFormat="1"/>
    <row r="322" s="10" customFormat="1"/>
    <row r="323" s="10" customFormat="1"/>
    <row r="324" s="10" customFormat="1"/>
    <row r="325" s="10" customFormat="1"/>
    <row r="326" s="10" customFormat="1"/>
    <row r="327" s="10" customFormat="1"/>
    <row r="328" s="10" customFormat="1"/>
    <row r="329" s="10" customFormat="1"/>
    <row r="330" s="10" customFormat="1"/>
    <row r="331" s="10" customFormat="1"/>
    <row r="332" s="10" customFormat="1"/>
    <row r="333" s="10" customFormat="1"/>
    <row r="334" s="10" customFormat="1"/>
    <row r="335" s="10" customFormat="1"/>
    <row r="336" s="10" customFormat="1"/>
    <row r="337" s="10" customFormat="1"/>
    <row r="338" s="10" customFormat="1"/>
    <row r="339" s="10" customFormat="1"/>
    <row r="340" s="10" customFormat="1"/>
    <row r="341" s="10" customFormat="1"/>
    <row r="342" s="10" customFormat="1"/>
    <row r="343" s="10" customFormat="1"/>
    <row r="344" s="10" customFormat="1"/>
    <row r="345" s="10" customFormat="1"/>
    <row r="346" s="10" customFormat="1"/>
    <row r="347" s="10" customFormat="1"/>
    <row r="348" s="10" customFormat="1"/>
    <row r="349" s="10" customFormat="1"/>
    <row r="350" s="10" customFormat="1"/>
    <row r="351" s="10" customFormat="1"/>
    <row r="352" s="10" customFormat="1"/>
    <row r="353" s="10" customFormat="1"/>
    <row r="354" s="10" customFormat="1"/>
    <row r="355" s="10" customFormat="1"/>
    <row r="356" s="10" customFormat="1"/>
    <row r="357" s="10" customFormat="1"/>
    <row r="358" s="10" customFormat="1"/>
    <row r="359" s="10" customFormat="1"/>
    <row r="360" s="10" customFormat="1"/>
    <row r="361" s="10" customFormat="1"/>
    <row r="362" s="10" customFormat="1"/>
    <row r="363" s="10" customFormat="1"/>
    <row r="364" s="10" customFormat="1"/>
    <row r="365" s="10" customFormat="1"/>
    <row r="366" s="10" customFormat="1"/>
    <row r="367" s="10" customFormat="1"/>
    <row r="368" s="10" customFormat="1"/>
    <row r="369" s="10" customFormat="1"/>
    <row r="370" s="10" customFormat="1"/>
    <row r="371" s="10" customFormat="1"/>
    <row r="372" s="10" customFormat="1"/>
    <row r="373" s="10" customFormat="1"/>
    <row r="374" s="10" customFormat="1"/>
    <row r="375" s="10" customFormat="1"/>
    <row r="376" s="10" customFormat="1"/>
    <row r="377" s="10" customFormat="1"/>
    <row r="378" s="10" customFormat="1"/>
    <row r="379" s="10" customFormat="1"/>
    <row r="380" s="10" customFormat="1"/>
    <row r="381" s="10" customFormat="1"/>
    <row r="382" s="10" customFormat="1"/>
    <row r="383" s="10" customFormat="1"/>
    <row r="384" s="10" customFormat="1"/>
    <row r="385" s="10" customFormat="1"/>
    <row r="386" s="10" customFormat="1"/>
    <row r="387" s="10" customFormat="1"/>
    <row r="388" s="10" customFormat="1"/>
    <row r="389" s="10" customFormat="1"/>
    <row r="390" s="10" customFormat="1"/>
    <row r="391" s="10" customFormat="1"/>
    <row r="392" s="10" customFormat="1"/>
    <row r="393" s="10" customFormat="1"/>
    <row r="394" s="10" customFormat="1"/>
    <row r="395" s="10" customFormat="1"/>
    <row r="396" s="10" customFormat="1"/>
    <row r="397" s="10" customFormat="1"/>
    <row r="398" s="10" customFormat="1"/>
    <row r="399" s="10" customFormat="1"/>
    <row r="400" s="10" customFormat="1"/>
    <row r="401" s="10" customFormat="1"/>
    <row r="402" s="10" customFormat="1"/>
    <row r="403" s="10" customFormat="1"/>
    <row r="404" s="10" customFormat="1"/>
    <row r="405" s="10" customFormat="1"/>
    <row r="406" s="10" customFormat="1"/>
    <row r="407" s="10" customFormat="1"/>
    <row r="408" s="10" customFormat="1"/>
    <row r="409" s="10" customFormat="1"/>
    <row r="410" s="10" customFormat="1"/>
    <row r="411" s="10" customFormat="1"/>
    <row r="412" s="10" customFormat="1"/>
    <row r="413" s="10" customFormat="1"/>
    <row r="414" s="10" customFormat="1"/>
    <row r="415" s="10" customFormat="1"/>
    <row r="416" s="10" customFormat="1"/>
    <row r="417" s="10" customFormat="1"/>
    <row r="418" s="10" customFormat="1"/>
    <row r="419" s="10" customFormat="1"/>
    <row r="420" s="10" customFormat="1"/>
    <row r="421" s="10" customFormat="1"/>
    <row r="422" s="10" customFormat="1"/>
    <row r="423" s="10" customFormat="1"/>
    <row r="424" s="10" customFormat="1"/>
    <row r="425" s="10" customFormat="1"/>
    <row r="426" s="10" customFormat="1"/>
    <row r="427" s="10" customFormat="1"/>
    <row r="428" s="10" customFormat="1"/>
    <row r="429" s="10" customFormat="1"/>
    <row r="430" s="10" customFormat="1"/>
    <row r="431" s="10" customFormat="1"/>
    <row r="432" s="10" customFormat="1"/>
    <row r="433" s="10" customFormat="1"/>
    <row r="434" s="10" customFormat="1"/>
    <row r="435" s="10" customFormat="1"/>
    <row r="436" s="10" customFormat="1"/>
    <row r="437" s="10" customFormat="1"/>
    <row r="438" s="10" customFormat="1"/>
    <row r="439" s="10" customFormat="1"/>
    <row r="440" s="10" customFormat="1"/>
    <row r="441" s="10" customFormat="1"/>
    <row r="442" s="10" customFormat="1"/>
    <row r="443" s="10" customFormat="1"/>
    <row r="444" s="10" customFormat="1"/>
    <row r="445" s="10" customFormat="1"/>
    <row r="446" s="10" customFormat="1"/>
    <row r="447" s="10" customFormat="1"/>
    <row r="448" s="10" customFormat="1"/>
    <row r="449" s="10" customFormat="1"/>
    <row r="450" s="10" customFormat="1"/>
    <row r="451" s="10" customFormat="1"/>
    <row r="452" s="10" customFormat="1"/>
    <row r="453" s="10" customFormat="1"/>
    <row r="454" s="10" customFormat="1"/>
    <row r="455" s="10" customFormat="1"/>
    <row r="456" s="10" customFormat="1"/>
    <row r="457" s="10" customFormat="1"/>
    <row r="458" s="10" customFormat="1"/>
    <row r="459" s="10" customFormat="1"/>
    <row r="460" s="10" customFormat="1"/>
    <row r="461" s="10" customFormat="1"/>
    <row r="462" s="10" customFormat="1"/>
    <row r="463" s="10" customFormat="1"/>
    <row r="464" s="10" customFormat="1"/>
    <row r="465" s="10" customFormat="1"/>
    <row r="466" s="10" customFormat="1"/>
    <row r="467" s="10" customFormat="1"/>
    <row r="468" s="10" customFormat="1"/>
    <row r="469" s="10" customFormat="1"/>
    <row r="470" s="10" customFormat="1"/>
    <row r="471" s="10" customFormat="1"/>
    <row r="472" s="10" customFormat="1"/>
    <row r="473" s="10" customFormat="1"/>
    <row r="474" s="10" customFormat="1"/>
    <row r="475" s="10" customFormat="1"/>
    <row r="476" s="10" customFormat="1"/>
    <row r="477" s="10" customFormat="1"/>
    <row r="478" s="10" customFormat="1"/>
    <row r="479" s="10" customFormat="1"/>
    <row r="480" s="10" customFormat="1"/>
    <row r="481" s="10" customFormat="1"/>
    <row r="482" s="10" customFormat="1"/>
    <row r="483" s="10" customFormat="1"/>
    <row r="484" s="10" customFormat="1"/>
    <row r="485" s="10" customFormat="1"/>
    <row r="486" s="10" customFormat="1"/>
    <row r="487" s="10" customFormat="1"/>
    <row r="488" s="10" customFormat="1"/>
    <row r="489" s="10" customFormat="1"/>
    <row r="490" s="10" customFormat="1"/>
    <row r="491" s="10" customFormat="1"/>
    <row r="492" s="10" customFormat="1"/>
    <row r="493" s="10" customFormat="1"/>
    <row r="494" s="10" customFormat="1"/>
    <row r="495" s="10" customFormat="1"/>
    <row r="496" s="10" customFormat="1"/>
    <row r="497" s="10" customFormat="1"/>
    <row r="498" s="10" customFormat="1"/>
    <row r="499" s="10" customFormat="1"/>
    <row r="500" s="10" customFormat="1"/>
    <row r="501" s="10" customFormat="1"/>
    <row r="502" s="10" customFormat="1"/>
    <row r="503" s="10" customFormat="1"/>
    <row r="504" s="10" customFormat="1"/>
    <row r="505" s="10" customFormat="1"/>
    <row r="506" s="10" customFormat="1"/>
    <row r="507" s="10" customFormat="1"/>
    <row r="508" s="10" customFormat="1"/>
    <row r="509" s="10" customFormat="1"/>
    <row r="510" s="10" customFormat="1"/>
    <row r="511" s="10" customFormat="1"/>
    <row r="512" s="10" customFormat="1"/>
    <row r="513" s="10" customFormat="1"/>
    <row r="514" s="10" customFormat="1"/>
    <row r="515" s="10" customFormat="1"/>
    <row r="516" s="10" customFormat="1"/>
    <row r="517" s="10" customFormat="1"/>
    <row r="518" s="10" customFormat="1"/>
    <row r="519" s="10" customFormat="1"/>
    <row r="520" s="10" customFormat="1"/>
    <row r="521" s="10" customFormat="1"/>
    <row r="522" s="10" customFormat="1"/>
    <row r="523" s="10" customFormat="1"/>
    <row r="524" s="10" customFormat="1"/>
    <row r="525" s="10" customFormat="1"/>
    <row r="526" s="10" customFormat="1"/>
    <row r="527" s="10" customFormat="1"/>
    <row r="528" s="10" customFormat="1"/>
    <row r="529" s="10" customFormat="1"/>
    <row r="530" s="10" customFormat="1"/>
    <row r="531" s="10" customFormat="1"/>
    <row r="532" s="10" customFormat="1"/>
    <row r="533" s="10" customFormat="1"/>
    <row r="534" s="10" customFormat="1"/>
    <row r="535" s="10" customFormat="1"/>
    <row r="536" s="10" customFormat="1"/>
    <row r="537" s="10" customFormat="1"/>
    <row r="538" s="10" customFormat="1"/>
    <row r="539" s="10" customFormat="1"/>
    <row r="540" s="10" customFormat="1"/>
    <row r="541" s="10" customFormat="1"/>
    <row r="542" s="10" customFormat="1"/>
    <row r="543" s="10" customFormat="1"/>
    <row r="544" s="10" customFormat="1"/>
    <row r="545" s="10" customFormat="1"/>
    <row r="546" s="10" customFormat="1"/>
    <row r="547" s="10" customFormat="1"/>
    <row r="548" s="10" customFormat="1"/>
    <row r="549" s="10" customFormat="1"/>
    <row r="550" s="10" customFormat="1"/>
    <row r="551" s="10" customFormat="1"/>
    <row r="552" s="10" customFormat="1"/>
    <row r="553" s="10" customFormat="1"/>
    <row r="554" s="10" customFormat="1"/>
    <row r="555" s="10" customFormat="1"/>
    <row r="556" s="10" customFormat="1"/>
    <row r="557" s="10" customFormat="1"/>
    <row r="558" s="10" customFormat="1"/>
    <row r="559" s="10" customFormat="1"/>
    <row r="560" s="10" customFormat="1"/>
    <row r="561" s="10" customFormat="1"/>
    <row r="562" s="10" customFormat="1"/>
    <row r="563" s="10" customFormat="1"/>
    <row r="564" s="10" customFormat="1"/>
    <row r="565" s="10" customFormat="1"/>
    <row r="566" s="10" customFormat="1"/>
    <row r="567" s="10" customFormat="1"/>
    <row r="568" s="10" customFormat="1"/>
    <row r="569" s="10" customFormat="1"/>
    <row r="570" s="10" customFormat="1"/>
    <row r="571" s="10" customFormat="1"/>
    <row r="572" s="10" customFormat="1"/>
    <row r="573" s="10" customFormat="1"/>
    <row r="574" s="10" customFormat="1"/>
    <row r="575" s="10" customFormat="1"/>
    <row r="576" s="10" customFormat="1"/>
    <row r="577" s="10" customFormat="1"/>
    <row r="578" s="10" customFormat="1"/>
    <row r="579" s="10" customFormat="1"/>
    <row r="580" s="10" customFormat="1"/>
    <row r="581" s="10" customFormat="1"/>
    <row r="582" s="10" customFormat="1"/>
    <row r="583" s="10" customFormat="1"/>
    <row r="584" s="10" customFormat="1"/>
    <row r="585" s="10" customFormat="1"/>
    <row r="586" s="10" customFormat="1"/>
    <row r="587" s="10" customFormat="1"/>
    <row r="588" s="10" customFormat="1"/>
    <row r="589" s="10" customFormat="1"/>
    <row r="590" s="10" customFormat="1"/>
    <row r="591" s="10" customFormat="1"/>
    <row r="592" s="10" customFormat="1"/>
    <row r="593" s="10" customFormat="1"/>
    <row r="594" s="10" customFormat="1"/>
    <row r="595" s="10" customFormat="1"/>
    <row r="596" s="10" customFormat="1"/>
    <row r="597" s="10" customFormat="1"/>
    <row r="598" s="10" customFormat="1"/>
    <row r="599" s="10" customFormat="1"/>
    <row r="600" s="10" customFormat="1"/>
    <row r="601" s="10" customFormat="1"/>
    <row r="602" s="10" customFormat="1"/>
    <row r="603" s="10" customFormat="1"/>
    <row r="604" s="10" customFormat="1"/>
    <row r="605" s="10" customFormat="1"/>
    <row r="606" s="10" customFormat="1"/>
    <row r="607" s="10" customFormat="1"/>
    <row r="608" s="10" customFormat="1"/>
    <row r="609" s="10" customFormat="1"/>
    <row r="610" s="10" customFormat="1"/>
    <row r="611" s="10" customFormat="1"/>
    <row r="612" s="10" customFormat="1"/>
    <row r="613" s="10" customFormat="1"/>
    <row r="614" s="10" customFormat="1"/>
    <row r="615" s="10" customFormat="1"/>
    <row r="616" s="10" customFormat="1"/>
    <row r="617" s="10" customFormat="1"/>
    <row r="618" s="10" customFormat="1"/>
    <row r="619" s="10" customFormat="1"/>
    <row r="620" s="10" customFormat="1"/>
    <row r="621" s="10" customFormat="1"/>
    <row r="622" s="10" customFormat="1"/>
    <row r="623" s="10" customFormat="1"/>
    <row r="624" s="10" customFormat="1"/>
    <row r="625" s="10" customFormat="1"/>
    <row r="626" s="10" customFormat="1"/>
  </sheetData>
  <sheetProtection sheet="1" objects="1" scenarios="1"/>
  <hyperlinks>
    <hyperlink ref="M51" r:id="rId1" xr:uid="{873D1D87-95AB-4E49-BE48-E084CC37915F}"/>
    <hyperlink ref="AD62" r:id="rId2" xr:uid="{1232A726-F8CC-401C-A9BB-C664F2DE1CE1}"/>
    <hyperlink ref="CA68" r:id="rId3" location="/CBS/nl/dataset/83558NED/table?searchKeywords=keyword:huishoudelijk%20afval" display="https://opendata.cbs.nl/ - /CBS/nl/dataset/83558NED/table?searchKeywords=keyword:huishoudelijk%20afval" xr:uid="{AE230E02-1F35-4D33-93D3-EE0A4E90D54B}"/>
    <hyperlink ref="P28" r:id="rId4" xr:uid="{F433BA32-90C2-4F99-BDCF-CDF220F5F8BC}"/>
    <hyperlink ref="AD14" r:id="rId5" xr:uid="{CC253C93-5EE9-4762-9167-3DA1B37D91A2}"/>
    <hyperlink ref="CT18" r:id="rId6" xr:uid="{8996A29A-F21F-4553-81C9-FD144E276F93}"/>
    <hyperlink ref="CT14" r:id="rId7" location="/CBS/nl/dataset/83558NED/table?searchKeywords=keyword:huishoudelijk%20afval" display="https://opendata.cbs.nl/ - /CBS/nl/dataset/83558NED/table?searchKeywords=keyword:huishoudelijk%20afval" xr:uid="{B2B1778E-503C-4D08-883A-5EAC0A477E0C}"/>
    <hyperlink ref="DJ14" r:id="rId8" location="/CBS/nl/dataset/83558NED/table?searchKeywords=keyword:huishoudelijk%20afval" display="https://opendata.cbs.nl/ - /CBS/nl/dataset/83558NED/table?searchKeywords=keyword:huishoudelijk%20afval" xr:uid="{61363909-1C12-4ECE-B595-ECC0EF601E11}"/>
    <hyperlink ref="CE14" r:id="rId9" location="/CBS/nl/dataset/83558NED/table?searchKeywords=keyword:huishoudelijk%20afval" display="https://opendata.cbs.nl/ - /CBS/nl/dataset/83558NED/table?searchKeywords=keyword:huishoudelijk%20afval" xr:uid="{E6087271-86FD-4B79-B66B-BCCDAB8872AB}"/>
    <hyperlink ref="CE18" r:id="rId10" xr:uid="{D4F44799-B832-4A5F-89D3-344DF2E81020}"/>
    <hyperlink ref="BP14" r:id="rId11" location="/CBS/nl/dataset/83558NED/table?searchKeywords=keyword:huishoudelijk%20afval" display="https://opendata.cbs.nl/ - /CBS/nl/dataset/83558NED/table?searchKeywords=keyword:huishoudelijk%20afval" xr:uid="{55E0E8B0-3420-4649-8451-CF61EC6317FD}"/>
    <hyperlink ref="BP18" r:id="rId12" xr:uid="{3BF0AF97-2DEF-4864-B67A-2E120A2C25E6}"/>
    <hyperlink ref="BP34" r:id="rId13" location="/CBS/nl/dataset/83558NED/table?searchKeywords=keyword:huishoudelijk%20afval" display="https://opendata.cbs.nl/ - /CBS/nl/dataset/83558NED/table?searchKeywords=keyword:huishoudelijk%20afval" xr:uid="{235F9992-DCD8-4E05-9BE5-05A805D277C0}"/>
    <hyperlink ref="BB14" r:id="rId14" location="/CBS/nl/dataset/83558NED/table?searchKeywords=keyword:huishoudelijk%20afval" display="https://opendata.cbs.nl/ - /CBS/nl/dataset/83558NED/table?searchKeywords=keyword:huishoudelijk%20afval" xr:uid="{1E7B4ED9-C5CB-4419-9ED6-5AA5B7CE8207}"/>
    <hyperlink ref="AQ14" r:id="rId15" display="https://open.rijkswaterstaat.nl/open-overheid/onderzoeksrapporten/@246081/grootzitmeubilair-productstromen/" xr:uid="{313D998B-1486-4418-BA6F-4054397B4E67}"/>
    <hyperlink ref="M47" r:id="rId16" location="/CBS/nl/dataset/83558NED/table?searchKeywords=keyword:huishoudelijk%20afval" display="https://opendata.cbs.nl/ - /CBS/nl/dataset/83558NED/table?searchKeywords=keyword:huishoudelijk%20afval" xr:uid="{A5AF2DCE-C4C7-473A-BB62-A241F54AEF7A}"/>
    <hyperlink ref="AD58" r:id="rId17" location="/CBS/nl/dataset/83558NED/table?searchKeywords=keyword:huishoudelijk%20afval" display="https://opendata.cbs.nl/ - /CBS/nl/dataset/83558NED/table?searchKeywords=keyword:huishoudelijk%20afval" xr:uid="{9595D548-5231-456C-94E9-BBA98D14B917}"/>
  </hyperlinks>
  <pageMargins left="0.7" right="0.7" top="0.75" bottom="0.75" header="0.3" footer="0.3"/>
  <pageSetup paperSize="9" orientation="portrait" horizontalDpi="300" verticalDpi="0" r:id="rId18"/>
  <drawing r:id="rId19"/>
  <legacyDrawing r:id="rId2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9BAA4-E440-499E-9E8B-5030C4F50125}">
  <sheetPr>
    <tabColor theme="7"/>
  </sheetPr>
  <dimension ref="B3:H27"/>
  <sheetViews>
    <sheetView zoomScale="80" zoomScaleNormal="80" workbookViewId="0">
      <selection activeCell="S31" sqref="S31"/>
    </sheetView>
  </sheetViews>
  <sheetFormatPr defaultColWidth="9.140625" defaultRowHeight="11.25"/>
  <cols>
    <col min="1" max="1" width="9.140625" style="10"/>
    <col min="2" max="2" width="28.140625" style="10" customWidth="1"/>
    <col min="3" max="3" width="16.42578125" style="10" customWidth="1"/>
    <col min="4" max="4" width="17.42578125" style="10" customWidth="1"/>
    <col min="5" max="5" width="10.28515625" style="10" customWidth="1"/>
    <col min="6" max="6" width="14.7109375" style="10" customWidth="1"/>
    <col min="7" max="16384" width="9.140625" style="10"/>
  </cols>
  <sheetData>
    <row r="3" spans="2:8">
      <c r="B3" s="35" t="s">
        <v>215</v>
      </c>
      <c r="C3" s="35"/>
      <c r="D3" s="35"/>
      <c r="E3" s="35"/>
      <c r="F3" s="35"/>
    </row>
    <row r="4" spans="2:8" ht="28.5">
      <c r="B4" s="269" t="e">
        <f>#REF!</f>
        <v>#REF!</v>
      </c>
      <c r="C4" s="392" t="e">
        <f>#REF!</f>
        <v>#REF!</v>
      </c>
      <c r="D4" s="393" t="e">
        <f>#REF!</f>
        <v>#REF!</v>
      </c>
      <c r="E4" s="392" t="s">
        <v>16</v>
      </c>
      <c r="F4" s="393" t="s">
        <v>73</v>
      </c>
      <c r="G4" s="37"/>
      <c r="H4" s="393" t="e">
        <f>#REF!</f>
        <v>#REF!</v>
      </c>
    </row>
    <row r="5" spans="2:8" ht="12.75">
      <c r="B5" s="12" t="e">
        <f>#REF!</f>
        <v>#REF!</v>
      </c>
      <c r="C5" s="394">
        <f>'Achtergrond scenario zonder kw'!B33</f>
        <v>3.8421039481151775E-2</v>
      </c>
      <c r="D5" s="394">
        <f>'Achtergrond scenario zonder kw'!C33</f>
        <v>0.20171045727604681</v>
      </c>
      <c r="E5" s="394">
        <f>'Achtergrond scenario zonder kw'!D33</f>
        <v>0.14616699802612088</v>
      </c>
      <c r="F5" s="394">
        <f>'Achtergrond scenario zonder kw'!E33</f>
        <v>0.61370150521668054</v>
      </c>
      <c r="G5" s="394"/>
      <c r="H5" s="394">
        <f>SUM(C5:F5)</f>
        <v>1</v>
      </c>
    </row>
    <row r="6" spans="2:8" ht="12.75">
      <c r="B6" s="11" t="e">
        <f>#REF!</f>
        <v>#REF!</v>
      </c>
      <c r="C6" s="395">
        <f>'Achtergrond scenario zonder kw'!B34</f>
        <v>3.9199288002847991E-2</v>
      </c>
      <c r="D6" s="395">
        <f>'Achtergrond scenario zonder kw'!C34</f>
        <v>0.28746144535421858</v>
      </c>
      <c r="E6" s="395">
        <f>'Achtergrond scenario zonder kw'!D34</f>
        <v>0.43139017443930222</v>
      </c>
      <c r="F6" s="395">
        <f>'Achtergrond scenario zonder kw'!E34</f>
        <v>0.24194909220363117</v>
      </c>
      <c r="G6" s="395"/>
      <c r="H6" s="395">
        <f t="shared" ref="H6:H12" si="0">SUM(C6:F6)</f>
        <v>1</v>
      </c>
    </row>
    <row r="7" spans="2:8" ht="12.75">
      <c r="B7" s="13" t="e">
        <f>#REF!</f>
        <v>#REF!</v>
      </c>
      <c r="C7" s="396">
        <f>'Achtergrond scenario zonder kw'!B35</f>
        <v>6.9230769230769235E-2</v>
      </c>
      <c r="D7" s="396">
        <f>'Achtergrond scenario zonder kw'!C35</f>
        <v>0.26043956043956046</v>
      </c>
      <c r="E7" s="396">
        <f>'Achtergrond scenario zonder kw'!D35</f>
        <v>0.16483516483516483</v>
      </c>
      <c r="F7" s="396">
        <f>'Achtergrond scenario zonder kw'!E35</f>
        <v>0.50549450549450547</v>
      </c>
      <c r="G7" s="396"/>
      <c r="H7" s="396">
        <f t="shared" si="0"/>
        <v>1</v>
      </c>
    </row>
    <row r="8" spans="2:8" ht="12.75">
      <c r="B8" s="264" t="s">
        <v>208</v>
      </c>
      <c r="C8" s="397">
        <f>'Achtergrond scenario zonder kw'!B36</f>
        <v>1.9065302911093627E-2</v>
      </c>
      <c r="D8" s="397">
        <f>'Achtergrond scenario zonder kw'!C36</f>
        <v>5.4262785208497248E-2</v>
      </c>
      <c r="E8" s="397">
        <f>'Achtergrond scenario zonder kw'!D36</f>
        <v>0.40900078678206137</v>
      </c>
      <c r="F8" s="397">
        <f>'Achtergrond scenario zonder kw'!E36</f>
        <v>0.51767112509834778</v>
      </c>
      <c r="G8" s="397"/>
      <c r="H8" s="397">
        <f t="shared" si="0"/>
        <v>1</v>
      </c>
    </row>
    <row r="9" spans="2:8" ht="12.75">
      <c r="B9" s="268" t="e">
        <f>#REF!</f>
        <v>#REF!</v>
      </c>
      <c r="C9" s="398">
        <f>'Achtergrond scenario zonder kw'!B37</f>
        <v>0.15046296296296294</v>
      </c>
      <c r="D9" s="398">
        <f>'Achtergrond scenario zonder kw'!C37</f>
        <v>0.4282407407407407</v>
      </c>
      <c r="E9" s="398">
        <f>'Achtergrond scenario zonder kw'!D37</f>
        <v>0.33703703703703702</v>
      </c>
      <c r="F9" s="398">
        <f>'Achtergrond scenario zonder kw'!E37</f>
        <v>8.4259259259259256E-2</v>
      </c>
      <c r="G9" s="398"/>
      <c r="H9" s="398">
        <f t="shared" si="0"/>
        <v>0.99999999999999989</v>
      </c>
    </row>
    <row r="10" spans="2:8" ht="12.75">
      <c r="B10" s="265" t="e">
        <f>#REF!</f>
        <v>#REF!</v>
      </c>
      <c r="C10" s="399">
        <f>'Achtergrond scenario zonder kw'!B38</f>
        <v>0.1014999612218097</v>
      </c>
      <c r="D10" s="399">
        <f>'Achtergrond scenario zonder kw'!C38</f>
        <v>0.28888450501591983</v>
      </c>
      <c r="E10" s="399">
        <f>'Achtergrond scenario zonder kw'!D38</f>
        <v>0.57913475707415696</v>
      </c>
      <c r="F10" s="399">
        <f>'Achtergrond scenario zonder kw'!E38</f>
        <v>3.0480776688113526E-2</v>
      </c>
      <c r="G10" s="399"/>
      <c r="H10" s="399">
        <f t="shared" si="0"/>
        <v>1</v>
      </c>
    </row>
    <row r="11" spans="2:8" ht="12.75">
      <c r="B11" s="266" t="e">
        <f>#REF!</f>
        <v>#REF!</v>
      </c>
      <c r="C11" s="400">
        <f>'Achtergrond scenario zonder kw'!B39</f>
        <v>0.1059967238858725</v>
      </c>
      <c r="D11" s="400">
        <f>'Achtergrond scenario zonder kw'!C39</f>
        <v>0.30168298336748328</v>
      </c>
      <c r="E11" s="400">
        <f>'Achtergrond scenario zonder kw'!D39</f>
        <v>0.29616014637332205</v>
      </c>
      <c r="F11" s="400">
        <f>'Achtergrond scenario zonder kw'!E39</f>
        <v>0.29616014637332205</v>
      </c>
      <c r="G11" s="400"/>
      <c r="H11" s="400">
        <f t="shared" si="0"/>
        <v>1</v>
      </c>
    </row>
    <row r="12" spans="2:8" ht="12.75">
      <c r="B12" s="267" t="e">
        <f>#REF!</f>
        <v>#REF!</v>
      </c>
      <c r="C12" s="401">
        <f>'Achtergrond scenario zonder kw'!B40</f>
        <v>0.18921243316515529</v>
      </c>
      <c r="D12" s="401">
        <f>'Achtergrond scenario zonder kw'!C40</f>
        <v>0.53852769439313419</v>
      </c>
      <c r="E12" s="401">
        <f>'Achtergrond scenario zonder kw'!D40</f>
        <v>0.1361299362208552</v>
      </c>
      <c r="F12" s="401">
        <f>'Achtergrond scenario zonder kw'!E40</f>
        <v>0.1361299362208552</v>
      </c>
      <c r="G12" s="401"/>
      <c r="H12" s="401">
        <f t="shared" si="0"/>
        <v>1</v>
      </c>
    </row>
    <row r="16" spans="2:8">
      <c r="B16" s="35" t="s">
        <v>221</v>
      </c>
    </row>
    <row r="18" spans="2:8" ht="57">
      <c r="B18" s="269" t="s">
        <v>0</v>
      </c>
      <c r="C18" s="392" t="s">
        <v>76</v>
      </c>
      <c r="D18" s="393" t="s">
        <v>77</v>
      </c>
      <c r="E18" s="392" t="s">
        <v>16</v>
      </c>
      <c r="F18" s="393" t="s">
        <v>73</v>
      </c>
      <c r="G18" s="41"/>
      <c r="H18" s="393" t="s">
        <v>13</v>
      </c>
    </row>
    <row r="19" spans="2:8" ht="12.75">
      <c r="B19" s="12" t="s">
        <v>7</v>
      </c>
      <c r="C19" s="394">
        <v>0</v>
      </c>
      <c r="D19" s="394">
        <f>D5+0.15*C5</f>
        <v>0.20747361319821958</v>
      </c>
      <c r="E19" s="394">
        <f>E5+(0.85*E5)/SUM(E5:G5)*C5</f>
        <v>0.15244901232376742</v>
      </c>
      <c r="F19" s="394">
        <f>F5+(0.85*F5)/SUM(E5:G5)*C5</f>
        <v>0.64007737447801294</v>
      </c>
      <c r="G19" s="402"/>
      <c r="H19" s="394">
        <f>SUM(C19:G19)</f>
        <v>1</v>
      </c>
    </row>
    <row r="20" spans="2:8" ht="12.75">
      <c r="B20" s="11" t="s">
        <v>63</v>
      </c>
      <c r="C20" s="395">
        <v>0</v>
      </c>
      <c r="D20" s="395">
        <f t="shared" ref="D20:D26" si="1">D6+0.15*C6</f>
        <v>0.29334133855464578</v>
      </c>
      <c r="E20" s="395">
        <f t="shared" ref="E20:E26" si="2">E6+(0.85*E6)/SUM(E6:G6)*C6</f>
        <v>0.45273700544722933</v>
      </c>
      <c r="F20" s="395">
        <f t="shared" ref="F20:F26" si="3">F6+(0.85*F6)/SUM(E6:G6)*C6</f>
        <v>0.25392165599812483</v>
      </c>
      <c r="G20" s="403"/>
      <c r="H20" s="395">
        <f t="shared" ref="H20:H27" si="4">SUM(C20:G20)</f>
        <v>1</v>
      </c>
    </row>
    <row r="21" spans="2:8" ht="12.75">
      <c r="B21" s="13" t="s">
        <v>9</v>
      </c>
      <c r="C21" s="396">
        <v>0</v>
      </c>
      <c r="D21" s="396">
        <f t="shared" si="1"/>
        <v>0.27082417582417584</v>
      </c>
      <c r="E21" s="396">
        <f t="shared" si="2"/>
        <v>0.17930553053503873</v>
      </c>
      <c r="F21" s="396">
        <f t="shared" si="3"/>
        <v>0.54987029364078543</v>
      </c>
      <c r="G21" s="404"/>
      <c r="H21" s="396">
        <f t="shared" si="4"/>
        <v>1</v>
      </c>
    </row>
    <row r="22" spans="2:8" ht="12.75">
      <c r="B22" s="264" t="s">
        <v>208</v>
      </c>
      <c r="C22" s="397">
        <v>0</v>
      </c>
      <c r="D22" s="397">
        <f t="shared" si="1"/>
        <v>5.7122580645161292E-2</v>
      </c>
      <c r="E22" s="397">
        <f t="shared" si="2"/>
        <v>0.41615333475753041</v>
      </c>
      <c r="F22" s="397">
        <f t="shared" si="3"/>
        <v>0.52672408459730824</v>
      </c>
      <c r="G22" s="405"/>
      <c r="H22" s="397">
        <f t="shared" si="4"/>
        <v>1</v>
      </c>
    </row>
    <row r="23" spans="2:8" ht="12.75">
      <c r="B23" s="268" t="s">
        <v>10</v>
      </c>
      <c r="C23" s="398">
        <v>0</v>
      </c>
      <c r="D23" s="398">
        <f>D9+0.9*C9</f>
        <v>0.56365740740740733</v>
      </c>
      <c r="E23" s="398">
        <f>E9+(0.1*E9)/SUM(E9:G9)*C9</f>
        <v>0.34907407407407404</v>
      </c>
      <c r="F23" s="398">
        <f>F9+(0.1*F9)/SUM(E9:G9)*C9</f>
        <v>8.7268518518518509E-2</v>
      </c>
      <c r="G23" s="406"/>
      <c r="H23" s="398">
        <f t="shared" si="4"/>
        <v>0.99999999999999978</v>
      </c>
    </row>
    <row r="24" spans="2:8" ht="12.75">
      <c r="B24" s="265" t="s">
        <v>70</v>
      </c>
      <c r="C24" s="399">
        <v>0</v>
      </c>
      <c r="D24" s="399">
        <f t="shared" si="1"/>
        <v>0.30410949919919128</v>
      </c>
      <c r="E24" s="399">
        <f t="shared" si="2"/>
        <v>0.66109597576076828</v>
      </c>
      <c r="F24" s="399">
        <f t="shared" si="3"/>
        <v>3.4794525040040436E-2</v>
      </c>
      <c r="G24" s="407"/>
      <c r="H24" s="399">
        <f t="shared" si="4"/>
        <v>1</v>
      </c>
    </row>
    <row r="25" spans="2:8" ht="12.75">
      <c r="B25" s="266" t="s">
        <v>8</v>
      </c>
      <c r="C25" s="400">
        <v>0</v>
      </c>
      <c r="D25" s="400">
        <f t="shared" si="1"/>
        <v>0.31758249195036414</v>
      </c>
      <c r="E25" s="400">
        <f t="shared" si="2"/>
        <v>0.34120875402481787</v>
      </c>
      <c r="F25" s="400">
        <f t="shared" si="3"/>
        <v>0.34120875402481787</v>
      </c>
      <c r="G25" s="408"/>
      <c r="H25" s="400">
        <f t="shared" si="4"/>
        <v>0.99999999999999989</v>
      </c>
    </row>
    <row r="26" spans="2:8" ht="12.75">
      <c r="B26" s="267" t="s">
        <v>71</v>
      </c>
      <c r="C26" s="401">
        <v>0</v>
      </c>
      <c r="D26" s="401">
        <f t="shared" si="1"/>
        <v>0.56690955936790743</v>
      </c>
      <c r="E26" s="401">
        <f t="shared" si="2"/>
        <v>0.2165452203160462</v>
      </c>
      <c r="F26" s="401">
        <f t="shared" si="3"/>
        <v>0.2165452203160462</v>
      </c>
      <c r="G26" s="409"/>
      <c r="H26" s="401">
        <f t="shared" si="4"/>
        <v>0.99999999999999978</v>
      </c>
    </row>
    <row r="27" spans="2:8" ht="12.75">
      <c r="B27" s="12" t="s">
        <v>11</v>
      </c>
      <c r="C27" s="394">
        <v>0</v>
      </c>
      <c r="D27" s="394">
        <f>AVERAGE(D19:D26)</f>
        <v>0.32262758326838409</v>
      </c>
      <c r="E27" s="394">
        <f>AVERAGE(E19:E26)</f>
        <v>0.34607111340490904</v>
      </c>
      <c r="F27" s="394">
        <f>AVERAGE(F19:F26)</f>
        <v>0.33130130332670682</v>
      </c>
      <c r="G27" s="402"/>
      <c r="H27" s="394">
        <f t="shared" si="4"/>
        <v>0.99999999999999989</v>
      </c>
    </row>
  </sheetData>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e2b7372-f7bc-49fb-bf31-17738b9b5b38" xsi:nil="true"/>
    <lcf76f155ced4ddcb4097134ff3c332f xmlns="f6a790a3-ad10-4f28-93e1-d236d3fd5ece">
      <Terms xmlns="http://schemas.microsoft.com/office/infopath/2007/PartnerControls"/>
    </lcf76f155ced4ddcb4097134ff3c332f>
    <SharedWithUsers xmlns="8e2b7372-f7bc-49fb-bf31-17738b9b5b38">
      <UserInfo>
        <DisplayName>Liza Hoefnagels</DisplayName>
        <AccountId>99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FDFA4DFE7CA6542BE245998712C281B" ma:contentTypeVersion="15" ma:contentTypeDescription="Een nieuw document maken." ma:contentTypeScope="" ma:versionID="50ee54aeb98dcfd3d6adb6549ae3cf03">
  <xsd:schema xmlns:xsd="http://www.w3.org/2001/XMLSchema" xmlns:xs="http://www.w3.org/2001/XMLSchema" xmlns:p="http://schemas.microsoft.com/office/2006/metadata/properties" xmlns:ns2="8e2b7372-f7bc-49fb-bf31-17738b9b5b38" xmlns:ns3="f6a790a3-ad10-4f28-93e1-d236d3fd5ece" targetNamespace="http://schemas.microsoft.com/office/2006/metadata/properties" ma:root="true" ma:fieldsID="f2642205b6a65f8026d274dfd8504032" ns2:_="" ns3:_="">
    <xsd:import namespace="8e2b7372-f7bc-49fb-bf31-17738b9b5b38"/>
    <xsd:import namespace="f6a790a3-ad10-4f28-93e1-d236d3fd5ec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ServiceObjectDetectorVersions" minOccurs="0"/>
                <xsd:element ref="ns3:MediaLengthInSecond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2b7372-f7bc-49fb-bf31-17738b9b5b38"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TaxCatchAll" ma:index="14" nillable="true" ma:displayName="Taxonomy Catch All Column" ma:hidden="true" ma:list="{96b583c1-daa9-4faf-a1bd-c4adbaa41491}" ma:internalName="TaxCatchAll" ma:showField="CatchAllData" ma:web="8e2b7372-f7bc-49fb-bf31-17738b9b5b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790a3-ad10-4f28-93e1-d236d3fd5ec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b5733a20-6812-4889-b931-e2a87f5de8f7"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3AD1EA-2ED9-494E-91B8-41737518B8D0}">
  <ds:schemaRefs>
    <ds:schemaRef ds:uri="http://schemas.microsoft.com/office/2006/documentManagement/types"/>
    <ds:schemaRef ds:uri="f1cb61d1-f62e-4b3a-9002-33229c1962eb"/>
    <ds:schemaRef ds:uri="http://www.w3.org/XML/1998/namespace"/>
    <ds:schemaRef ds:uri="http://schemas.microsoft.com/office/infopath/2007/PartnerControls"/>
    <ds:schemaRef ds:uri="http://purl.org/dc/elements/1.1/"/>
    <ds:schemaRef ds:uri="9342ef1b-6b2c-4bb8-88ab-c409ea141ed6"/>
    <ds:schemaRef ds:uri="http://schemas.openxmlformats.org/package/2006/metadata/core-propertie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04B3C4DB-86E4-4572-8719-8232D5245A42}">
  <ds:schemaRefs>
    <ds:schemaRef ds:uri="http://schemas.microsoft.com/sharepoint/v3/contenttype/forms"/>
  </ds:schemaRefs>
</ds:datastoreItem>
</file>

<file path=customXml/itemProps3.xml><?xml version="1.0" encoding="utf-8"?>
<ds:datastoreItem xmlns:ds="http://schemas.openxmlformats.org/officeDocument/2006/customXml" ds:itemID="{E102BE7D-500C-42DE-9ECE-FE5D15B7051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8</vt:i4>
      </vt:variant>
    </vt:vector>
  </HeadingPairs>
  <TitlesOfParts>
    <vt:vector size="8" baseType="lpstr">
      <vt:lpstr>Intro</vt:lpstr>
      <vt:lpstr>Cockpit</vt:lpstr>
      <vt:lpstr>Scenario's</vt:lpstr>
      <vt:lpstr>Rekensheet</vt:lpstr>
      <vt:lpstr>Samenstelling</vt:lpstr>
      <vt:lpstr>Impactdata ecoras</vt:lpstr>
      <vt:lpstr>Achtergrond scenario zonder kw</vt:lpstr>
      <vt:lpstr>Percentages scenario zonder kw</vt:lpstr>
    </vt:vector>
  </TitlesOfParts>
  <Manager/>
  <Company>TNO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René van Gijlswijk</dc:creator>
  <cp:keywords/>
  <dc:description/>
  <cp:lastModifiedBy>Berghe, Guus van den (RWS WVL)</cp:lastModifiedBy>
  <cp:revision/>
  <dcterms:created xsi:type="dcterms:W3CDTF">2008-05-27T09:00:44Z</dcterms:created>
  <dcterms:modified xsi:type="dcterms:W3CDTF">2025-04-15T14:01:46Z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0x0101001FDFA4DFE7CA6542BE245998712C281B</vt:lpwstr>
  </property>
  <property fmtid="{D5CDD505-2E9C-101B-9397-08002B2CF9AE}" pid="3" name="MediaServiceImageTags">
    <vt:lpwstr/>
  </property>
</Properties>
</file>